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wasteofcash\Spreadsheets\"/>
    </mc:Choice>
  </mc:AlternateContent>
  <bookViews>
    <workbookView xWindow="0" yWindow="0" windowWidth="28800" windowHeight="12435"/>
  </bookViews>
  <sheets>
    <sheet name="Main" sheetId="1" r:id="rId1"/>
    <sheet name="Suppliers" sheetId="2" r:id="rId2"/>
    <sheet name="Instructions" sheetId="3" r:id="rId3"/>
  </sheets>
  <definedNames>
    <definedName name="CCCharge">OFFSET(Suppliers!$BB$1,1,0,COUNTA(Suppliers!$BB:$BB)-1,1)</definedName>
    <definedName name="ConnectFee">OFFSET(Suppliers!$BC$1,1,0,COUNTA(Suppliers!$BC:$BC)-1,1)</definedName>
    <definedName name="CS1D">OFFSET(Suppliers!$V$1,1,0,COUNTA(Suppliers!$V:$V)-1,1)</definedName>
    <definedName name="CS1Q">OFFSET(Suppliers!$U$1,1,0,COUNTA(Suppliers!$U:$U)-1,1)</definedName>
    <definedName name="CS1R">OFFSET(Suppliers!$T$1,1,0,COUNTA(Suppliers!$T:$T)-1,1)</definedName>
    <definedName name="CS2D">OFFSET(Suppliers!$Y$1,1,0,COUNTA(Suppliers!$Y:$Y)-1,1)</definedName>
    <definedName name="CS2Q">OFFSET(Suppliers!$X$1,1,0,COUNTA(Suppliers!$X:$X)-1,1)</definedName>
    <definedName name="CS2R">OFFSET(Suppliers!$W$1,1,0,COUNTA(Suppliers!$W:$W)-1,1)</definedName>
    <definedName name="CS3D">OFFSET(Suppliers!$AB$1,1,0,COUNTA(Suppliers!$AB:$AB)-1,1)</definedName>
    <definedName name="CS3Q">OFFSET(Suppliers!$AA$1,1,0,COUNTA(Suppliers!$AA:$AA)-1,1)</definedName>
    <definedName name="CS3R">OFFSET(Suppliers!$Z$1,1,0,COUNTA(Suppliers!$Z:$Z)-1,1)</definedName>
    <definedName name="CS4D">OFFSET(Suppliers!$AE$1,1,0,COUNTA(Suppliers!$AE:$AE)-1,1)</definedName>
    <definedName name="CS4Q">OFFSET(Suppliers!$AD$1,1,0,COUNTA(Suppliers!$AD:$AD)-1,1)</definedName>
    <definedName name="CS4R">OFFSET(Suppliers!$AC$1,1,0,COUNTA(Suppliers!$AC:$AC)-1,1)</definedName>
    <definedName name="CS5D">OFFSET(Suppliers!$AH$1,1,0,COUNTA(Suppliers!$AH:$AH)-1,1)</definedName>
    <definedName name="CS5Q">OFFSET(Suppliers!$AG$1,1,0,COUNTA(Suppliers!$AG:$AG)-1,1)</definedName>
    <definedName name="CS5R">OFFSET(Suppliers!$AF$1,1,0,COUNTA(Suppliers!$AF:$AF)-1,1)</definedName>
    <definedName name="Data_Table">OFFSET(Suppliers!$A$1,1,0,COUNTA(Suppliers!$A:$A)-1,COUNTA(Suppliers!$1:$1))</definedName>
    <definedName name="DiscountWholeBill">OFFSET(Suppliers!$BA$1,1,0,COUNTA(Suppliers!$BA:$BA)-1,1)</definedName>
    <definedName name="EDiscount">OFFSET(Suppliers!$S$1,1,0,COUNTA(Suppliers!$S:$S)-1,1)</definedName>
    <definedName name="ES1D">OFFSET(Suppliers!$E$1,1,0,COUNTA(Suppliers!$E:$E)-1,1)</definedName>
    <definedName name="ES1Q">OFFSET(Suppliers!$D$1,1,0,COUNTA(Suppliers!$D:$D)-1,1)</definedName>
    <definedName name="ES1R">OFFSET(Suppliers!$C$1,1,0,COUNTA(Suppliers!$C:$C)-1,1)</definedName>
    <definedName name="ES2D">OFFSET(Suppliers!$H$1,1,0,COUNTA(Suppliers!$H:$H)-1,1)</definedName>
    <definedName name="ES2Q">OFFSET(Suppliers!$G$1,1,0,COUNTA(Suppliers!$G:$G)-1,1)</definedName>
    <definedName name="ES2R">OFFSET(Suppliers!$F$1,1,0,COUNTA(Suppliers!$F:$F)-1,1)</definedName>
    <definedName name="ES3D">OFFSET(Suppliers!$K$1,1,0,COUNTA(Suppliers!$K:$K)-1,1)</definedName>
    <definedName name="ES3Q">OFFSET(Suppliers!$J$1,1,0,COUNTA(Suppliers!$J:$J)-1,1)</definedName>
    <definedName name="ES3R">OFFSET(Suppliers!$I$1,1,0,COUNTA(Suppliers!$I:$I)-1,1)</definedName>
    <definedName name="ES4D">OFFSET(Suppliers!$N$1,1,0,COUNTA(Suppliers!$N:$N)-1,1)</definedName>
    <definedName name="ES4Q">OFFSET(Suppliers!$M$1,1,0,COUNTA(Suppliers!$M:$M)-1,1)</definedName>
    <definedName name="ES4R">OFFSET(Suppliers!$L$1,1,0,COUNTA(Suppliers!$L:$L)-1,1)</definedName>
    <definedName name="ES5D">OFFSET(Suppliers!$Q$1,1,0,COUNTA(Suppliers!$Q:$Q)-1,1)</definedName>
    <definedName name="ES5Q">OFFSET(Suppliers!$P$1,1,0,COUNTA(Suppliers!$P:$P)-1,1)</definedName>
    <definedName name="ES5R">OFFSET(Suppliers!$O$1,1,0,COUNTA(Suppliers!$O:$O)-1,1)</definedName>
    <definedName name="ESupply">OFFSET(Suppliers!$R$1,1,0,COUNTA(Suppliers!$R:$R)-1,1)</definedName>
    <definedName name="GDiscount">OFFSET(Suppliers!$AY$1,1,0,COUNTA(Suppliers!$AY:$AY)-1,1)</definedName>
    <definedName name="GS1D">OFFSET(Suppliers!$AK$1,1,0,COUNTA(Suppliers!$AK:$AK)-1,1)</definedName>
    <definedName name="GS1Q">OFFSET(Suppliers!$AJ$1,1,0,COUNTA(Suppliers!$AJ:$AJ)-1,1)</definedName>
    <definedName name="GS1R">OFFSET(Suppliers!$AI$1,1,0,COUNTA(Suppliers!$AI:$AI)-1,1)</definedName>
    <definedName name="GS2D">OFFSET(Suppliers!$AN$1,1,0,COUNTA(Suppliers!$AN:$AN)-1,1)</definedName>
    <definedName name="GS2Q">OFFSET(Suppliers!$AM$1,1,0,COUNTA(Suppliers!$AM:$AM)-1,1)</definedName>
    <definedName name="GS2R">OFFSET(Suppliers!$AL$1,1,0,COUNTA(Suppliers!$AL:$AL)-1,1)</definedName>
    <definedName name="GS3D">OFFSET(Suppliers!$AQ$1,1,0,COUNTA(Suppliers!$AQ:$AQ)-1,1)</definedName>
    <definedName name="GS3Q">OFFSET(Suppliers!$AP$1,1,0,COUNTA(Suppliers!$AP:$AP)-1,1)</definedName>
    <definedName name="GS3R">OFFSET(Suppliers!$AO$1,1,0,COUNTA(Suppliers!$AO:$AO)-1,1)</definedName>
    <definedName name="GS4D">OFFSET(Suppliers!$AT$1,1,0,COUNTA(Suppliers!$AT:$AT)-1,1)</definedName>
    <definedName name="GS4Q">OFFSET(Suppliers!$AS$1,1,0,COUNTA(Suppliers!$AS:$AS)-1,1)</definedName>
    <definedName name="GS4R">OFFSET(Suppliers!$AR$1,1,0,COUNTA(Suppliers!$AR:$AR)-1,1)</definedName>
    <definedName name="GS5D">OFFSET(Suppliers!$AW$1,1,0,COUNTA(Suppliers!$AW:$AW)-1,1)</definedName>
    <definedName name="GS5Q">OFFSET(Suppliers!$AV$1,1,0,COUNTA(Suppliers!$AV:$AV)-1,1)</definedName>
    <definedName name="GS5R">OFFSET(Suppliers!$AU$1,1,0,COUNTA(Suppliers!$AU:$AU)-1,1)</definedName>
    <definedName name="GSupply">OFFSET(Suppliers!$AX$1,1,0,COUNTA(Suppliers!$AX:$AX)-1,1)</definedName>
    <definedName name="SolarFeed">OFFSET(Suppliers!$AZ$1,1,0,COUNTA(Suppliers!$AZ:$AZ)-1,1)</definedName>
    <definedName name="SupplierNames">OFFSET(Suppliers!$A$1,1,0,COUNTA(Suppliers!$A:$A)-1,1)</definedName>
    <definedName name="Term">OFFSET(Suppliers!$B$1,1,0,COUNTA(Suppliers!$B:$B)-1,1)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L55" i="1" l="1"/>
  <c r="L54" i="1"/>
  <c r="L53" i="1"/>
  <c r="L48" i="1"/>
  <c r="L47" i="1"/>
  <c r="L46" i="1"/>
  <c r="E55" i="1"/>
  <c r="E54" i="1"/>
  <c r="E53" i="1"/>
  <c r="E51" i="1"/>
  <c r="E48" i="1"/>
  <c r="E47" i="1"/>
  <c r="E46" i="1"/>
  <c r="E45" i="1"/>
  <c r="C31" i="1"/>
  <c r="E31" i="1" s="1"/>
  <c r="C30" i="1"/>
  <c r="E30" i="1" s="1"/>
  <c r="C29" i="1"/>
  <c r="C15" i="1"/>
  <c r="E15" i="1" s="1"/>
  <c r="C14" i="1"/>
  <c r="E14" i="1" s="1"/>
  <c r="C13" i="1"/>
  <c r="E13" i="1" s="1"/>
  <c r="C12" i="1"/>
  <c r="L45" i="1" l="1"/>
  <c r="E52" i="1"/>
  <c r="B51" i="1"/>
  <c r="E44" i="1"/>
  <c r="B44" i="1"/>
  <c r="E12" i="1"/>
  <c r="C11" i="1"/>
  <c r="E11" i="1" s="1"/>
  <c r="C3" i="1"/>
  <c r="E3" i="1" s="1"/>
  <c r="B11" i="1" l="1"/>
  <c r="G11" i="1" s="1"/>
  <c r="B3" i="1"/>
  <c r="L1" i="1"/>
  <c r="I1" i="1"/>
  <c r="C27" i="1"/>
  <c r="B23" i="1"/>
  <c r="E1" i="1"/>
  <c r="B22" i="1"/>
  <c r="D30" i="1" l="1"/>
  <c r="D31" i="1"/>
  <c r="F14" i="1"/>
  <c r="F15" i="1"/>
  <c r="D15" i="1"/>
  <c r="F13" i="1"/>
  <c r="D13" i="1"/>
  <c r="D14" i="1"/>
  <c r="D11" i="1"/>
  <c r="D12" i="1"/>
  <c r="B12" i="1"/>
  <c r="F11" i="1"/>
  <c r="F3" i="1"/>
  <c r="F12" i="1"/>
  <c r="D3" i="1"/>
  <c r="B55" i="1"/>
  <c r="B54" i="1"/>
  <c r="B13" i="1" l="1"/>
  <c r="G13" i="1" s="1"/>
  <c r="J13" i="1" s="1"/>
  <c r="G12" i="1"/>
  <c r="J12" i="1" s="1"/>
  <c r="J11" i="1"/>
  <c r="H11" i="1"/>
  <c r="I44" i="1"/>
  <c r="H13" i="1" l="1"/>
  <c r="I13" i="1" s="1"/>
  <c r="I11" i="1"/>
  <c r="K11" i="1" s="1"/>
  <c r="L11" i="1" s="1"/>
  <c r="H12" i="1"/>
  <c r="I12" i="1" s="1"/>
  <c r="B14" i="1"/>
  <c r="G14" i="1" s="1"/>
  <c r="J14" i="1" s="1"/>
  <c r="L22" i="1"/>
  <c r="K13" i="1" l="1"/>
  <c r="L13" i="1" s="1"/>
  <c r="K12" i="1"/>
  <c r="L12" i="1" s="1"/>
  <c r="H14" i="1"/>
  <c r="I14" i="1" s="1"/>
  <c r="B15" i="1"/>
  <c r="G15" i="1" s="1"/>
  <c r="J15" i="1" s="1"/>
  <c r="E35" i="1"/>
  <c r="G35" i="1"/>
  <c r="B48" i="1"/>
  <c r="B47" i="1"/>
  <c r="L44" i="1"/>
  <c r="K14" i="1" l="1"/>
  <c r="L14" i="1" s="1"/>
  <c r="H15" i="1"/>
  <c r="I15" i="1" s="1"/>
  <c r="G16" i="1"/>
  <c r="J16" i="1" s="1"/>
  <c r="B16" i="1"/>
  <c r="H35" i="1"/>
  <c r="I35" i="1" s="1"/>
  <c r="C19" i="1"/>
  <c r="D19" i="1" s="1"/>
  <c r="C28" i="1"/>
  <c r="L52" i="1"/>
  <c r="L51" i="1"/>
  <c r="B27" i="1" s="1"/>
  <c r="B38" i="1"/>
  <c r="F35" i="1" s="1"/>
  <c r="D29" i="1"/>
  <c r="B53" i="1"/>
  <c r="B52" i="1"/>
  <c r="B46" i="1"/>
  <c r="B45" i="1"/>
  <c r="C7" i="1"/>
  <c r="D7" i="1" s="1"/>
  <c r="C6" i="1"/>
  <c r="C5" i="1"/>
  <c r="C4" i="1"/>
  <c r="K35" i="1" l="1"/>
  <c r="L35" i="1" s="1"/>
  <c r="J35" i="1"/>
  <c r="D28" i="1"/>
  <c r="D27" i="1"/>
  <c r="D35" i="1"/>
  <c r="B4" i="1"/>
  <c r="B5" i="1" s="1"/>
  <c r="B28" i="1"/>
  <c r="B29" i="1" s="1"/>
  <c r="G29" i="1" s="1"/>
  <c r="J29" i="1" s="1"/>
  <c r="F30" i="1"/>
  <c r="F31" i="1"/>
  <c r="K15" i="1"/>
  <c r="L15" i="1" s="1"/>
  <c r="H16" i="1"/>
  <c r="I16" i="1" s="1"/>
  <c r="K16" i="1" s="1"/>
  <c r="L16" i="1" s="1"/>
  <c r="D4" i="1"/>
  <c r="D5" i="1"/>
  <c r="D6" i="1"/>
  <c r="G3" i="1"/>
  <c r="J3" i="1" s="1"/>
  <c r="G19" i="1"/>
  <c r="J19" i="1" s="1"/>
  <c r="E19" i="1"/>
  <c r="F19" i="1" s="1"/>
  <c r="B30" i="1" l="1"/>
  <c r="G30" i="1" s="1"/>
  <c r="B6" i="1"/>
  <c r="G6" i="1" s="1"/>
  <c r="H3" i="1"/>
  <c r="I3" i="1" s="1"/>
  <c r="K3" i="1" s="1"/>
  <c r="L3" i="1" s="1"/>
  <c r="E29" i="1"/>
  <c r="F29" i="1" s="1"/>
  <c r="E28" i="1"/>
  <c r="F28" i="1" s="1"/>
  <c r="E27" i="1"/>
  <c r="F27" i="1" s="1"/>
  <c r="E7" i="1"/>
  <c r="E6" i="1"/>
  <c r="E5" i="1"/>
  <c r="E4" i="1"/>
  <c r="B31" i="1" l="1"/>
  <c r="G31" i="1" s="1"/>
  <c r="H30" i="1"/>
  <c r="I30" i="1" s="1"/>
  <c r="K30" i="1" s="1"/>
  <c r="L30" i="1" s="1"/>
  <c r="J30" i="1"/>
  <c r="B7" i="1"/>
  <c r="B8" i="1" s="1"/>
  <c r="F6" i="1"/>
  <c r="F7" i="1"/>
  <c r="F4" i="1"/>
  <c r="F5" i="1"/>
  <c r="H19" i="1"/>
  <c r="H31" i="1" l="1"/>
  <c r="I31" i="1" s="1"/>
  <c r="K31" i="1" s="1"/>
  <c r="L31" i="1" s="1"/>
  <c r="J31" i="1"/>
  <c r="B32" i="1"/>
  <c r="G27" i="1"/>
  <c r="J27" i="1" l="1"/>
  <c r="G28" i="1"/>
  <c r="H28" i="1" s="1"/>
  <c r="I28" i="1" s="1"/>
  <c r="K28" i="1" s="1"/>
  <c r="L28" i="1" s="1"/>
  <c r="H27" i="1"/>
  <c r="I27" i="1" s="1"/>
  <c r="K27" i="1" s="1"/>
  <c r="L27" i="1" s="1"/>
  <c r="G4" i="1"/>
  <c r="I19" i="1"/>
  <c r="G32" i="1" l="1"/>
  <c r="K19" i="1"/>
  <c r="L19" i="1" s="1"/>
  <c r="J4" i="1"/>
  <c r="J28" i="1"/>
  <c r="G5" i="1"/>
  <c r="H4" i="1"/>
  <c r="I4" i="1" s="1"/>
  <c r="J32" i="1" l="1"/>
  <c r="J37" i="1" s="1"/>
  <c r="K4" i="1"/>
  <c r="L4" i="1" s="1"/>
  <c r="J5" i="1"/>
  <c r="G7" i="1"/>
  <c r="H29" i="1"/>
  <c r="I29" i="1" s="1"/>
  <c r="H5" i="1"/>
  <c r="I5" i="1" s="1"/>
  <c r="K29" i="1" l="1"/>
  <c r="L29" i="1" s="1"/>
  <c r="G37" i="1"/>
  <c r="H32" i="1"/>
  <c r="H37" i="1" s="1"/>
  <c r="G8" i="1"/>
  <c r="G21" i="1" s="1"/>
  <c r="J7" i="1"/>
  <c r="J6" i="1"/>
  <c r="K5" i="1"/>
  <c r="L5" i="1" s="1"/>
  <c r="H7" i="1"/>
  <c r="I7" i="1" s="1"/>
  <c r="H6" i="1"/>
  <c r="I6" i="1" s="1"/>
  <c r="I32" i="1" l="1"/>
  <c r="J8" i="1"/>
  <c r="J21" i="1" s="1"/>
  <c r="H8" i="1"/>
  <c r="K6" i="1"/>
  <c r="L6" i="1" s="1"/>
  <c r="K7" i="1"/>
  <c r="L7" i="1" s="1"/>
  <c r="I37" i="1" l="1"/>
  <c r="K32" i="1"/>
  <c r="I8" i="1"/>
  <c r="H21" i="1"/>
  <c r="L32" i="1" l="1"/>
  <c r="L37" i="1" s="1"/>
  <c r="M37" i="1" s="1"/>
  <c r="K37" i="1"/>
  <c r="K8" i="1"/>
  <c r="I21" i="1"/>
  <c r="L8" i="1" l="1"/>
  <c r="L21" i="1" s="1"/>
  <c r="L23" i="1" s="1"/>
  <c r="K21" i="1"/>
  <c r="M21" i="1" l="1"/>
  <c r="M23" i="1" s="1"/>
</calcChain>
</file>

<file path=xl/sharedStrings.xml><?xml version="1.0" encoding="utf-8"?>
<sst xmlns="http://schemas.openxmlformats.org/spreadsheetml/2006/main" count="246" uniqueCount="195">
  <si>
    <t>Step 1</t>
  </si>
  <si>
    <t>Step 2</t>
  </si>
  <si>
    <t>kWh</t>
  </si>
  <si>
    <t>GST</t>
  </si>
  <si>
    <t>Step 3</t>
  </si>
  <si>
    <t>Step 4</t>
  </si>
  <si>
    <t>Step 5</t>
  </si>
  <si>
    <t>Total</t>
  </si>
  <si>
    <t>Days</t>
  </si>
  <si>
    <t>Totals</t>
  </si>
  <si>
    <t>Daily supply charge</t>
  </si>
  <si>
    <t>GST %</t>
  </si>
  <si>
    <t>Gas</t>
  </si>
  <si>
    <t>MJ</t>
  </si>
  <si>
    <t>Total MJ</t>
  </si>
  <si>
    <t>Step 1 Daily</t>
  </si>
  <si>
    <t>Step 1 Quarterly</t>
  </si>
  <si>
    <t>Rate Ex</t>
  </si>
  <si>
    <t>Total Ex</t>
  </si>
  <si>
    <t>Total Inc</t>
  </si>
  <si>
    <t>Gas + Supply Totals</t>
  </si>
  <si>
    <t>Rate Inc</t>
  </si>
  <si>
    <t>Total kWh</t>
  </si>
  <si>
    <t>Step 2 Daily</t>
  </si>
  <si>
    <t>Step 3 Daily</t>
  </si>
  <si>
    <t>Step 4 Daily</t>
  </si>
  <si>
    <t>Step 2 Quarterly</t>
  </si>
  <si>
    <t>Step 3 Quarterly</t>
  </si>
  <si>
    <t>Name</t>
  </si>
  <si>
    <t>Term</t>
  </si>
  <si>
    <t>G S1 Q</t>
  </si>
  <si>
    <t>E S1 R</t>
  </si>
  <si>
    <t>E S1 Q</t>
  </si>
  <si>
    <t>E S2 R</t>
  </si>
  <si>
    <t>E S2 Q</t>
  </si>
  <si>
    <t>E S3 R</t>
  </si>
  <si>
    <t>E S3 Q</t>
  </si>
  <si>
    <t>E S4 R</t>
  </si>
  <si>
    <t>E S4 Q</t>
  </si>
  <si>
    <t>E S5 R</t>
  </si>
  <si>
    <t>E S5 Q</t>
  </si>
  <si>
    <t>G S1 R</t>
  </si>
  <si>
    <t>G S2 R</t>
  </si>
  <si>
    <t>G S2 Q</t>
  </si>
  <si>
    <t>G S3 R</t>
  </si>
  <si>
    <t>G S3 Q</t>
  </si>
  <si>
    <t>E S1 D</t>
  </si>
  <si>
    <t>E S2 D</t>
  </si>
  <si>
    <t>E S3 D</t>
  </si>
  <si>
    <t>E S5 D</t>
  </si>
  <si>
    <t>E Supply</t>
  </si>
  <si>
    <t>G Supply</t>
  </si>
  <si>
    <t>Step 4 Quarterly</t>
  </si>
  <si>
    <t>Step 5 Quarterly</t>
  </si>
  <si>
    <t>Step 5 Daily</t>
  </si>
  <si>
    <t>Contract</t>
  </si>
  <si>
    <t>years</t>
  </si>
  <si>
    <t>Electricity</t>
  </si>
  <si>
    <t>Electricty</t>
  </si>
  <si>
    <t>Solar</t>
  </si>
  <si>
    <t>Rate ex</t>
  </si>
  <si>
    <t>Solar Feedin</t>
  </si>
  <si>
    <t>After solar</t>
  </si>
  <si>
    <t>Dis Rate Inc</t>
  </si>
  <si>
    <t>Dis rate Inc</t>
  </si>
  <si>
    <t>Discount Inc</t>
  </si>
  <si>
    <t>Discount Ex</t>
  </si>
  <si>
    <t>E Discount</t>
  </si>
  <si>
    <t>G Discount</t>
  </si>
  <si>
    <t>Total with Discount Inc</t>
  </si>
  <si>
    <t>E S4 D</t>
  </si>
  <si>
    <t>Discount Whole Bill</t>
  </si>
  <si>
    <t>CC Charge</t>
  </si>
  <si>
    <t>Connect fee</t>
  </si>
  <si>
    <t>Discount whole bill</t>
  </si>
  <si>
    <t>Dis Rate Ex</t>
  </si>
  <si>
    <t>Connect:</t>
  </si>
  <si>
    <t>With CC Charge</t>
  </si>
  <si>
    <t>Discount</t>
  </si>
  <si>
    <t>Controlled Load</t>
  </si>
  <si>
    <t>C S1 R</t>
  </si>
  <si>
    <t>C S1 Q</t>
  </si>
  <si>
    <t>C S2 D</t>
  </si>
  <si>
    <t>C S2 R</t>
  </si>
  <si>
    <t>C S2 Q</t>
  </si>
  <si>
    <t>C S1 D</t>
  </si>
  <si>
    <t>Controlled</t>
  </si>
  <si>
    <t>G S1 D</t>
  </si>
  <si>
    <t>G S2 D</t>
  </si>
  <si>
    <t>G S3 D</t>
  </si>
  <si>
    <t>Supplier(pick one):</t>
  </si>
  <si>
    <t>Go to suppliers tab and on a new row fill out a new supplier.</t>
  </si>
  <si>
    <t>Name = Company – Plan name</t>
  </si>
  <si>
    <t>Term = contract in years</t>
  </si>
  <si>
    <t>E S1 R = Electric step 1 rate in dollars. Eg 29c is 0.29</t>
  </si>
  <si>
    <t>E S1 Q = if supplier has step 1 as first “1000kWh a quarter/month”, enter 1000</t>
  </si>
  <si>
    <t>OR (fill 0’s for things that do not apply)</t>
  </si>
  <si>
    <t>E S1 D = if supplier has step 1 as “3.2877kWh/day”, enter 3.2877</t>
  </si>
  <si>
    <t>Repeat for steps 1-5, if supplier only has 3 brackets set bracket 3 to a large number eg 100000.</t>
  </si>
  <si>
    <t>E Supply = Supply charge per day in dollars eg 75.8c is 0.758</t>
  </si>
  <si>
    <t>E Discount = Discount percent 20% is 0.2</t>
  </si>
  <si>
    <t>G S1 R/Q/D same rules as electricity but for gas. If they do not sell gas fill in zeros</t>
  </si>
  <si>
    <t>Solar feedin = feedin rate per kWh in dollars, eg 30c is 0.30</t>
  </si>
  <si>
    <t>Discount Whole Bill = if supplier discounts on supply charge or only consumption.</t>
  </si>
  <si>
    <t>CC Charge = any credit fee</t>
  </si>
  <si>
    <t>Connect Fee = any account establishment fee</t>
  </si>
  <si>
    <t>On Main tab at bottom fill in red writing in yellow sections.</t>
  </si>
  <si>
    <t>Select your supplier from drop down at top.</t>
  </si>
  <si>
    <t>Blue writing should be auto populated from Suppliers details on Supplier tab.</t>
  </si>
  <si>
    <t>C s1 R/Q/D same as electricity but for controlled load. If they do not offer controlled load fill in zeros</t>
  </si>
  <si>
    <t>Alinta Fair Go Solar 0/10</t>
  </si>
  <si>
    <t>2014 Energy Australia Summer 17/13</t>
  </si>
  <si>
    <t>2014 Energy Australia Winter 17/13</t>
  </si>
  <si>
    <t>2015 Energy Australia Summer 21/21</t>
  </si>
  <si>
    <t>2015 Energy Australia Winter 21/21</t>
  </si>
  <si>
    <t>2014 Lumo 12</t>
  </si>
  <si>
    <t>2015 Lumo 12</t>
  </si>
  <si>
    <t>2014 Momentum +2 DD</t>
  </si>
  <si>
    <t>2015 Momentum +2 DD</t>
  </si>
  <si>
    <t>2014 Origin eSaver 15/11 +1 DD</t>
  </si>
  <si>
    <t>2015 Origin eSaver 16/11</t>
  </si>
  <si>
    <t>2014 Diamond Summer +3 DD(Monthly)</t>
  </si>
  <si>
    <t>2014 Diamond Winter +3 DD(Monthly)</t>
  </si>
  <si>
    <t>2014 Diamond Solar</t>
  </si>
  <si>
    <t>2014 Alinta Fair Go 15/10</t>
  </si>
  <si>
    <t>2015 Alinta Fair Go 20/10</t>
  </si>
  <si>
    <t>2015 Simply Energy Save Online 20/10</t>
  </si>
  <si>
    <t>2015 Qenergy + $5.50 inc GST Fee</t>
  </si>
  <si>
    <t>2015 AGL Summer Select 12/10 +2 Dual</t>
  </si>
  <si>
    <t>2015 AGL Winter Select 12/10 +2 Dual</t>
  </si>
  <si>
    <t>2015 Diamond 3 +3 DD(Monthly)</t>
  </si>
  <si>
    <t>2015 Origin Maximiser 16/12</t>
  </si>
  <si>
    <t>(2015)-----------------------------</t>
  </si>
  <si>
    <t>(2014)-----------------------------</t>
  </si>
  <si>
    <t>C S3 R</t>
  </si>
  <si>
    <t>C S3 Q</t>
  </si>
  <si>
    <t>C S3 D</t>
  </si>
  <si>
    <t>C S4 R</t>
  </si>
  <si>
    <t>C S4 Q</t>
  </si>
  <si>
    <t>C S4 D</t>
  </si>
  <si>
    <t>C S5 Q</t>
  </si>
  <si>
    <t>C S5 R</t>
  </si>
  <si>
    <t>C S5 D</t>
  </si>
  <si>
    <t>G S4  R</t>
  </si>
  <si>
    <t>G S4 Q</t>
  </si>
  <si>
    <t>G S4 D</t>
  </si>
  <si>
    <t>G S5 R</t>
  </si>
  <si>
    <t>G S5 Q</t>
  </si>
  <si>
    <t>G S5 D</t>
  </si>
  <si>
    <t>2016 Alinta Fair Go 20/10</t>
  </si>
  <si>
    <t>2016 Momentum Smile</t>
  </si>
  <si>
    <t>2016 Qenergy</t>
  </si>
  <si>
    <t>2016 Energy Australia 22/17</t>
  </si>
  <si>
    <t>2016 Simply Energy 15/15</t>
  </si>
  <si>
    <t>2016 Red Energy 10</t>
  </si>
  <si>
    <t>2016 Lumo 12</t>
  </si>
  <si>
    <t>2016 Diamond (Monthly) 7 +3DD</t>
  </si>
  <si>
    <t>2016 Origin Saver 16/10 +2 DD</t>
  </si>
  <si>
    <t>2016 AGL Winter Select 15/10 +2 dual</t>
  </si>
  <si>
    <t>2016 AGL Summer Select 15/10 +2 dual</t>
  </si>
  <si>
    <t>(2016)-----------------------------</t>
  </si>
  <si>
    <t>2016 Power Direct $5 CC</t>
  </si>
  <si>
    <t>2016 Urth Energy</t>
  </si>
  <si>
    <t>(2017)----------------------------</t>
  </si>
  <si>
    <t>2017 AGL</t>
  </si>
  <si>
    <t>2017 Alinta</t>
  </si>
  <si>
    <t>2017 Origin</t>
  </si>
  <si>
    <t>2017 Lumo</t>
  </si>
  <si>
    <t>2017 SimplyEnergy</t>
  </si>
  <si>
    <t>2017 Sanctuary</t>
  </si>
  <si>
    <t>2017 PacificHydro</t>
  </si>
  <si>
    <t>(2018)----------------------------</t>
  </si>
  <si>
    <t>(2019)-----------------------------</t>
  </si>
  <si>
    <t>AGL Savers 2018</t>
  </si>
  <si>
    <t>AGL Essentials 2018</t>
  </si>
  <si>
    <t>Alinta 25/12 2018</t>
  </si>
  <si>
    <t>SimplyEnergy 18/15 2018</t>
  </si>
  <si>
    <t>SimplyEnergy 20/16 2018</t>
  </si>
  <si>
    <t>Origin Maximizer 2018</t>
  </si>
  <si>
    <t>Momentum 2018</t>
  </si>
  <si>
    <t>Lumo Advantage Premium 2018</t>
  </si>
  <si>
    <t>Alinta 2019</t>
  </si>
  <si>
    <t>Simply Energy 2019</t>
  </si>
  <si>
    <t>Origin 2019 Max Saver</t>
  </si>
  <si>
    <t>AGL 2019 Essentials Plus</t>
  </si>
  <si>
    <t>Origin 2019 Solar Boost</t>
  </si>
  <si>
    <t>Prices in table are EX GST!</t>
  </si>
  <si>
    <t>Momentum 2019</t>
  </si>
  <si>
    <t>Lumo 2019</t>
  </si>
  <si>
    <t>AGL 2019 Essentials Savers</t>
  </si>
  <si>
    <t>Electricity + Supply Totals</t>
  </si>
  <si>
    <t>Solar Credit</t>
  </si>
  <si>
    <t>If you want more details expand groups on left with "+" or top or click "1", "2" or "3" at top left.</t>
  </si>
  <si>
    <t>To add a new plan:</t>
  </si>
  <si>
    <t>Basic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</si>
</sst>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2" fillId="0" borderId="6" xfId="0" applyFont="1" applyBorder="1" applyAlignment="1">
      <alignment horizontal="right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3" borderId="3" xfId="0" applyFont="1" applyFill="1" applyBorder="1"/>
    <xf numFmtId="0" fontId="2" fillId="3" borderId="4" xfId="0" applyFont="1" applyFill="1" applyBorder="1"/>
    <xf numFmtId="0" fontId="1" fillId="3" borderId="5" xfId="0" applyFont="1" applyFill="1" applyBorder="1"/>
    <xf numFmtId="0" fontId="2" fillId="3" borderId="11" xfId="0" applyFont="1" applyFill="1" applyBorder="1"/>
    <xf numFmtId="0" fontId="0" fillId="3" borderId="11" xfId="0" applyFont="1" applyFill="1" applyBorder="1"/>
    <xf numFmtId="164" fontId="2" fillId="0" borderId="0" xfId="0" applyNumberFormat="1" applyFont="1" applyBorder="1"/>
    <xf numFmtId="0" fontId="6" fillId="2" borderId="10" xfId="0" applyFont="1" applyFill="1" applyBorder="1"/>
    <xf numFmtId="0" fontId="2" fillId="3" borderId="13" xfId="0" applyFont="1" applyFill="1" applyBorder="1"/>
    <xf numFmtId="0" fontId="6" fillId="2" borderId="14" xfId="0" applyFont="1" applyFill="1" applyBorder="1"/>
    <xf numFmtId="0" fontId="0" fillId="3" borderId="15" xfId="0" applyFont="1" applyFill="1" applyBorder="1"/>
    <xf numFmtId="0" fontId="0" fillId="0" borderId="0" xfId="0" applyFill="1"/>
    <xf numFmtId="0" fontId="0" fillId="0" borderId="15" xfId="0" applyFont="1" applyFill="1" applyBorder="1"/>
    <xf numFmtId="0" fontId="6" fillId="0" borderId="0" xfId="0" applyFont="1" applyFill="1" applyBorder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5" borderId="8" xfId="0" applyNumberFormat="1" applyFill="1" applyBorder="1" applyAlignment="1">
      <alignment vertical="center"/>
    </xf>
    <xf numFmtId="10" fontId="0" fillId="5" borderId="8" xfId="0" applyNumberFormat="1" applyFill="1" applyBorder="1" applyAlignment="1">
      <alignment vertical="center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3" borderId="4" xfId="0" applyFill="1" applyBorder="1"/>
    <xf numFmtId="0" fontId="7" fillId="2" borderId="10" xfId="0" applyFont="1" applyFill="1" applyBorder="1"/>
    <xf numFmtId="0" fontId="0" fillId="3" borderId="11" xfId="0" applyFill="1" applyBorder="1"/>
    <xf numFmtId="164" fontId="2" fillId="0" borderId="6" xfId="0" applyNumberFormat="1" applyFont="1" applyBorder="1"/>
    <xf numFmtId="4" fontId="2" fillId="0" borderId="1" xfId="0" applyNumberFormat="1" applyFont="1" applyBorder="1"/>
    <xf numFmtId="0" fontId="0" fillId="0" borderId="16" xfId="0" applyBorder="1"/>
    <xf numFmtId="0" fontId="0" fillId="0" borderId="17" xfId="0" applyBorder="1"/>
    <xf numFmtId="0" fontId="4" fillId="0" borderId="17" xfId="0" applyFont="1" applyBorder="1"/>
    <xf numFmtId="0" fontId="0" fillId="0" borderId="17" xfId="0" applyFont="1" applyBorder="1"/>
    <xf numFmtId="164" fontId="2" fillId="0" borderId="17" xfId="0" applyNumberFormat="1" applyFont="1" applyBorder="1"/>
    <xf numFmtId="0" fontId="2" fillId="0" borderId="17" xfId="0" applyFont="1" applyBorder="1"/>
    <xf numFmtId="164" fontId="0" fillId="0" borderId="0" xfId="0" applyNumberFormat="1" applyFont="1" applyBorder="1"/>
    <xf numFmtId="0" fontId="0" fillId="0" borderId="0" xfId="0" applyNumberFormat="1" applyFont="1" applyBorder="1"/>
    <xf numFmtId="0" fontId="4" fillId="0" borderId="0" xfId="0" applyNumberFormat="1" applyFont="1" applyBorder="1"/>
    <xf numFmtId="0" fontId="2" fillId="6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left"/>
    </xf>
    <xf numFmtId="0" fontId="5" fillId="7" borderId="7" xfId="0" applyFont="1" applyFill="1" applyBorder="1"/>
    <xf numFmtId="164" fontId="2" fillId="7" borderId="8" xfId="0" applyNumberFormat="1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164" fontId="2" fillId="0" borderId="8" xfId="0" applyNumberFormat="1" applyFont="1" applyFill="1" applyBorder="1"/>
    <xf numFmtId="164" fontId="2" fillId="7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2" xfId="0" applyFont="1" applyFill="1" applyBorder="1"/>
    <xf numFmtId="0" fontId="0" fillId="0" borderId="2" xfId="0" applyFont="1" applyBorder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Fill="1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164" fontId="0" fillId="0" borderId="6" xfId="0" applyNumberFormat="1" applyFont="1" applyBorder="1" applyAlignment="1">
      <alignment horizontal="right"/>
    </xf>
    <xf numFmtId="0" fontId="9" fillId="0" borderId="1" xfId="0" applyFont="1" applyFill="1" applyBorder="1"/>
    <xf numFmtId="164" fontId="0" fillId="0" borderId="17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0" borderId="0" xfId="0" applyNumberFormat="1" applyFont="1" applyAlignment="1">
      <alignment horizontal="right"/>
    </xf>
    <xf numFmtId="164" fontId="0" fillId="0" borderId="8" xfId="0" applyNumberFormat="1" applyFont="1" applyFill="1" applyBorder="1"/>
    <xf numFmtId="164" fontId="10" fillId="0" borderId="8" xfId="0" applyNumberFormat="1" applyFont="1" applyFill="1" applyBorder="1"/>
    <xf numFmtId="164" fontId="11" fillId="7" borderId="8" xfId="0" applyNumberFormat="1" applyFont="1" applyFill="1" applyBorder="1"/>
    <xf numFmtId="0" fontId="10" fillId="8" borderId="9" xfId="0" applyFont="1" applyFill="1" applyBorder="1"/>
    <xf numFmtId="0" fontId="0" fillId="8" borderId="9" xfId="0" applyFont="1" applyFill="1" applyBorder="1"/>
    <xf numFmtId="164" fontId="11" fillId="9" borderId="8" xfId="0" applyNumberFormat="1" applyFont="1" applyFill="1" applyBorder="1"/>
    <xf numFmtId="164" fontId="2" fillId="9" borderId="8" xfId="0" applyNumberFormat="1" applyFont="1" applyFill="1" applyBorder="1"/>
    <xf numFmtId="164" fontId="2" fillId="10" borderId="0" xfId="0" applyNumberFormat="1" applyFont="1" applyFill="1"/>
    <xf numFmtId="164" fontId="2" fillId="9" borderId="13" xfId="0" applyNumberFormat="1" applyFont="1" applyFill="1" applyBorder="1"/>
    <xf numFmtId="0" fontId="0" fillId="0" borderId="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FE7"/>
      <color rgb="FFFFF9E7"/>
      <color rgb="FFFFF5D5"/>
      <color rgb="FFFFFAEB"/>
      <color rgb="FFFFFE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outlineLevelRow="2" outlineLevelCol="1" x14ac:dyDescent="0.25"/>
  <cols>
    <col min="1" max="1" width="24.7109375" customWidth="1"/>
    <col min="2" max="2" width="29" customWidth="1"/>
    <col min="3" max="3" width="9.140625" customWidth="1"/>
    <col min="4" max="4" width="10" customWidth="1"/>
    <col min="5" max="5" width="9.85546875" style="6" customWidth="1"/>
    <col min="6" max="6" width="11.5703125" style="6" customWidth="1"/>
    <col min="7" max="7" width="9.140625" customWidth="1"/>
    <col min="10" max="10" width="12.140625" customWidth="1"/>
    <col min="11" max="11" width="14.42578125" customWidth="1"/>
    <col min="12" max="12" width="22.140625" customWidth="1"/>
    <col min="13" max="13" width="23.140625" hidden="1" customWidth="1" outlineLevel="1"/>
    <col min="14" max="14" width="10.28515625" customWidth="1" collapsed="1"/>
  </cols>
  <sheetData>
    <row r="1" spans="1:13" s="15" customFormat="1" ht="25.5" customHeight="1" thickBot="1" x14ac:dyDescent="0.3">
      <c r="A1" s="14" t="s">
        <v>90</v>
      </c>
      <c r="B1" s="16" t="s">
        <v>185</v>
      </c>
      <c r="D1" s="15" t="s">
        <v>55</v>
      </c>
      <c r="E1" s="15">
        <f ca="1">VLOOKUP(B1,Data_Table,COLUMN(Term),FALSE)</f>
        <v>0</v>
      </c>
      <c r="F1" s="15" t="s">
        <v>56</v>
      </c>
      <c r="H1" s="15" t="s">
        <v>76</v>
      </c>
      <c r="I1" s="36">
        <f ca="1">VLOOKUP(B1,Data_Table,COLUMN(ConnectFee),FALSE)</f>
        <v>50.05</v>
      </c>
      <c r="K1" s="15" t="s">
        <v>72</v>
      </c>
      <c r="L1" s="37">
        <f ca="1">VLOOKUP(B1,Data_Table,COLUMN(CCCharge),FALSE)</f>
        <v>6.0000000000000001E-3</v>
      </c>
    </row>
    <row r="2" spans="1:13" s="3" customFormat="1" ht="15.75" thickBot="1" x14ac:dyDescent="0.3">
      <c r="A2" s="86" t="s">
        <v>58</v>
      </c>
      <c r="B2" s="73" t="s">
        <v>2</v>
      </c>
      <c r="C2" s="73" t="s">
        <v>17</v>
      </c>
      <c r="D2" s="73" t="s">
        <v>75</v>
      </c>
      <c r="E2" s="73" t="s">
        <v>21</v>
      </c>
      <c r="F2" s="73" t="s">
        <v>63</v>
      </c>
      <c r="G2" s="73" t="s">
        <v>18</v>
      </c>
      <c r="H2" s="73" t="s">
        <v>3</v>
      </c>
      <c r="I2" s="73" t="s">
        <v>19</v>
      </c>
      <c r="J2" s="73" t="s">
        <v>66</v>
      </c>
      <c r="K2" s="73" t="s">
        <v>65</v>
      </c>
      <c r="L2" s="73" t="s">
        <v>69</v>
      </c>
      <c r="M2" s="92" t="s">
        <v>77</v>
      </c>
    </row>
    <row r="3" spans="1:13" hidden="1" outlineLevel="2" x14ac:dyDescent="0.25">
      <c r="A3" t="s">
        <v>0</v>
      </c>
      <c r="B3" s="6">
        <f ca="1">IF(B44=0,MIN(B41*B51,B42),MIN(B42,B44))</f>
        <v>1000</v>
      </c>
      <c r="C3" s="10">
        <f ca="1">VLOOKUP(B1,Data_Table,COLUMN(ES1R),FALSE)</f>
        <v>0.36581799999999998</v>
      </c>
      <c r="D3" s="6">
        <f ca="1">C3-(C3*B22)</f>
        <v>0.33289437999999999</v>
      </c>
      <c r="E3" s="6">
        <f ca="1">C3+(C3*B57)</f>
        <v>0.40239979999999997</v>
      </c>
      <c r="F3" s="6">
        <f ca="1">E3-(E3*B22)</f>
        <v>0.36618381799999999</v>
      </c>
      <c r="G3" s="6">
        <f ca="1">B3*C3</f>
        <v>365.81799999999998</v>
      </c>
      <c r="H3" s="6">
        <f ca="1">G3*B57</f>
        <v>36.581800000000001</v>
      </c>
      <c r="I3" s="6">
        <f ca="1">G3+H3</f>
        <v>402.39979999999997</v>
      </c>
      <c r="J3" s="6">
        <f ca="1">G3*B22</f>
        <v>32.92362</v>
      </c>
      <c r="K3" s="6">
        <f ca="1">I3*B22</f>
        <v>36.215981999999997</v>
      </c>
      <c r="L3" s="6">
        <f ca="1">I3-K3</f>
        <v>366.18381799999997</v>
      </c>
    </row>
    <row r="4" spans="1:13" hidden="1" outlineLevel="2" x14ac:dyDescent="0.25">
      <c r="A4" t="s">
        <v>1</v>
      </c>
      <c r="B4" s="6">
        <f ca="1">IF(B44=0,MIN(B41*B52, B42 - B3), MIN(B42-B3,B45))</f>
        <v>0</v>
      </c>
      <c r="C4" s="10">
        <f ca="1">VLOOKUP(B1,Data_Table,COLUMN(ES2R),FALSE)</f>
        <v>0.39045400000000002</v>
      </c>
      <c r="D4" s="6">
        <f ca="1">C4-(C4*B22)</f>
        <v>0.35531314000000003</v>
      </c>
      <c r="E4" s="6">
        <f ca="1">C4+(C4*B57)</f>
        <v>0.42949940000000003</v>
      </c>
      <c r="F4" s="6">
        <f ca="1">E4-(E4*B22)</f>
        <v>0.39084445400000001</v>
      </c>
      <c r="G4" s="6">
        <f ca="1">B4*C4</f>
        <v>0</v>
      </c>
      <c r="H4" s="6">
        <f ca="1">G4*B57</f>
        <v>0</v>
      </c>
      <c r="I4" s="6">
        <f t="shared" ref="I4:I7" ca="1" si="0">G4+H4</f>
        <v>0</v>
      </c>
      <c r="J4" s="6">
        <f ca="1">G4*B22</f>
        <v>0</v>
      </c>
      <c r="K4" s="6">
        <f ca="1">I4*B22</f>
        <v>0</v>
      </c>
      <c r="L4" s="6">
        <f t="shared" ref="L4:L7" ca="1" si="1">I4-K4</f>
        <v>0</v>
      </c>
    </row>
    <row r="5" spans="1:13" hidden="1" outlineLevel="2" x14ac:dyDescent="0.25">
      <c r="A5" t="s">
        <v>4</v>
      </c>
      <c r="B5" s="6">
        <f ca="1">IF(B44=0,MIN(B41*B53, B42 - B3 - B4),MIN(B42-B3-B4,B46))</f>
        <v>0</v>
      </c>
      <c r="C5" s="10">
        <f ca="1">VLOOKUP(B1,Data_Table,COLUMN(ES3R),FALSE)</f>
        <v>0</v>
      </c>
      <c r="D5" s="6">
        <f ca="1">C5-(C5*B22)</f>
        <v>0</v>
      </c>
      <c r="E5" s="6">
        <f ca="1">C5+(C5*B57)</f>
        <v>0</v>
      </c>
      <c r="F5" s="6">
        <f ca="1">E5-(E5*B22)</f>
        <v>0</v>
      </c>
      <c r="G5" s="6">
        <f ca="1">B5*C5</f>
        <v>0</v>
      </c>
      <c r="H5" s="6">
        <f ca="1">G5*B57</f>
        <v>0</v>
      </c>
      <c r="I5" s="6">
        <f t="shared" ca="1" si="0"/>
        <v>0</v>
      </c>
      <c r="J5" s="6">
        <f ca="1">G5*B22</f>
        <v>0</v>
      </c>
      <c r="K5" s="6">
        <f ca="1">I5*B22</f>
        <v>0</v>
      </c>
      <c r="L5" s="6">
        <f t="shared" ca="1" si="1"/>
        <v>0</v>
      </c>
    </row>
    <row r="6" spans="1:13" hidden="1" outlineLevel="2" x14ac:dyDescent="0.25">
      <c r="A6" t="s">
        <v>5</v>
      </c>
      <c r="B6" s="6">
        <f ca="1">IF(B44=0,MIN(B41*B54, B42 - B3 - B4 - B5),B42-B3-B4-B5)</f>
        <v>0</v>
      </c>
      <c r="C6" s="10">
        <f ca="1">VLOOKUP(B1,Data_Table,COLUMN(ES4R),FALSE)</f>
        <v>0</v>
      </c>
      <c r="D6" s="6">
        <f ca="1">C6-(C6*B22)</f>
        <v>0</v>
      </c>
      <c r="E6" s="6">
        <f ca="1">C6+(C6*B57)</f>
        <v>0</v>
      </c>
      <c r="F6" s="6">
        <f ca="1">E6-(E6*B22)</f>
        <v>0</v>
      </c>
      <c r="G6" s="6">
        <f ca="1">B6*C6</f>
        <v>0</v>
      </c>
      <c r="H6" s="6">
        <f ca="1">G6*B57</f>
        <v>0</v>
      </c>
      <c r="I6" s="6">
        <f t="shared" ca="1" si="0"/>
        <v>0</v>
      </c>
      <c r="J6" s="6">
        <f ca="1">G6*B22</f>
        <v>0</v>
      </c>
      <c r="K6" s="6">
        <f ca="1">I6*B22</f>
        <v>0</v>
      </c>
      <c r="L6" s="6">
        <f t="shared" ca="1" si="1"/>
        <v>0</v>
      </c>
    </row>
    <row r="7" spans="1:13" hidden="1" outlineLevel="2" x14ac:dyDescent="0.25">
      <c r="A7" t="s">
        <v>6</v>
      </c>
      <c r="B7" s="6">
        <f ca="1">B42 - B3 - B4 - B5 - B6</f>
        <v>0</v>
      </c>
      <c r="C7" s="10">
        <f ca="1">VLOOKUP(B1,Data_Table,COLUMN(ES5R),FALSE)</f>
        <v>0</v>
      </c>
      <c r="D7" s="6">
        <f ca="1">C7-(C7*B22)</f>
        <v>0</v>
      </c>
      <c r="E7" s="6">
        <f ca="1">C7+(C7*B57)</f>
        <v>0</v>
      </c>
      <c r="F7" s="6">
        <f ca="1">E7-(E7*B22)</f>
        <v>0</v>
      </c>
      <c r="G7" s="6">
        <f ca="1">B7*C7</f>
        <v>0</v>
      </c>
      <c r="H7" s="6">
        <f ca="1">G7*B57</f>
        <v>0</v>
      </c>
      <c r="I7" s="6">
        <f t="shared" ca="1" si="0"/>
        <v>0</v>
      </c>
      <c r="J7" s="6">
        <f ca="1">G7*B22</f>
        <v>0</v>
      </c>
      <c r="K7" s="6">
        <f ca="1">I7*B22</f>
        <v>0</v>
      </c>
      <c r="L7" s="6">
        <f t="shared" ca="1" si="1"/>
        <v>0</v>
      </c>
    </row>
    <row r="8" spans="1:13" s="1" customFormat="1" hidden="1" outlineLevel="1" collapsed="1" x14ac:dyDescent="0.25">
      <c r="A8" s="70" t="s">
        <v>9</v>
      </c>
      <c r="B8" s="74">
        <f ca="1">B3+B4+B5+B6+B7</f>
        <v>1000</v>
      </c>
      <c r="C8" s="75"/>
      <c r="D8" s="75"/>
      <c r="E8" s="74"/>
      <c r="F8" s="74"/>
      <c r="G8" s="76">
        <f ca="1">G3+G4+G5+G6+G7</f>
        <v>365.81799999999998</v>
      </c>
      <c r="H8" s="76">
        <f ca="1">G8*B57</f>
        <v>36.581800000000001</v>
      </c>
      <c r="I8" s="76">
        <f ca="1">G8+H8</f>
        <v>402.39979999999997</v>
      </c>
      <c r="J8" s="76">
        <f ca="1">G8*B22</f>
        <v>32.92362</v>
      </c>
      <c r="K8" s="76">
        <f ca="1">I8*B22</f>
        <v>36.215981999999997</v>
      </c>
      <c r="L8" s="76">
        <f ca="1">I8-K8</f>
        <v>366.18381799999997</v>
      </c>
    </row>
    <row r="9" spans="1:13" ht="15.75" hidden="1" outlineLevel="1" thickBot="1" x14ac:dyDescent="0.3"/>
    <row r="10" spans="1:13" s="3" customFormat="1" ht="15.75" hidden="1" outlineLevel="1" thickBot="1" x14ac:dyDescent="0.3">
      <c r="A10" s="87" t="s">
        <v>79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7"/>
      <c r="M10" s="44"/>
    </row>
    <row r="11" spans="1:13" s="8" customFormat="1" hidden="1" outlineLevel="2" x14ac:dyDescent="0.25">
      <c r="A11" s="8" t="s">
        <v>0</v>
      </c>
      <c r="B11" s="8">
        <f ca="1">IF(E44=0,MIN(B41*E51,E42),MIN(E42,E44))</f>
        <v>0</v>
      </c>
      <c r="C11" s="54">
        <f ca="1">VLOOKUP(B1,Data_Table,COLUMN(CS1R),FALSE)</f>
        <v>0.198545</v>
      </c>
      <c r="D11" s="53">
        <f ca="1">C11-(C11*B22)</f>
        <v>0.18067595</v>
      </c>
      <c r="E11" s="53">
        <f ca="1">C11+(C11*B57)</f>
        <v>0.2183995</v>
      </c>
      <c r="F11" s="53">
        <f ca="1">E11-(E11*B22)</f>
        <v>0.19874354499999999</v>
      </c>
      <c r="G11" s="53">
        <f ca="1">B11*C11</f>
        <v>0</v>
      </c>
      <c r="H11" s="53">
        <f ca="1">G11*B57</f>
        <v>0</v>
      </c>
      <c r="I11" s="53">
        <f ca="1">G11+H11</f>
        <v>0</v>
      </c>
      <c r="J11" s="53">
        <f ca="1">G11*B22</f>
        <v>0</v>
      </c>
      <c r="K11" s="53">
        <f ca="1">I11*B22</f>
        <v>0</v>
      </c>
      <c r="L11" s="53">
        <f ca="1">I11-K11</f>
        <v>0</v>
      </c>
      <c r="M11" s="52"/>
    </row>
    <row r="12" spans="1:13" s="8" customFormat="1" hidden="1" outlineLevel="2" x14ac:dyDescent="0.25">
      <c r="A12" s="8" t="s">
        <v>1</v>
      </c>
      <c r="B12" s="8">
        <f ca="1">IF(E44=0,MIN(B41*E52, E42 - B11), MIN(E42-B11,E45))</f>
        <v>0</v>
      </c>
      <c r="C12" s="54">
        <f ca="1">VLOOKUP(B1,Data_Table,COLUMN(CS2R),FALSE)</f>
        <v>0</v>
      </c>
      <c r="D12" s="53">
        <f ca="1">C12-(C12*B22)</f>
        <v>0</v>
      </c>
      <c r="E12" s="53">
        <f ca="1">C12+(C12*B57)</f>
        <v>0</v>
      </c>
      <c r="F12" s="53">
        <f ca="1">E12-(E12*B22)</f>
        <v>0</v>
      </c>
      <c r="G12" s="53">
        <f ca="1">B12*C12</f>
        <v>0</v>
      </c>
      <c r="H12" s="53">
        <f ca="1">G12*B57</f>
        <v>0</v>
      </c>
      <c r="I12" s="53">
        <f ca="1">G12+H12</f>
        <v>0</v>
      </c>
      <c r="J12" s="53">
        <f ca="1">G12*B22</f>
        <v>0</v>
      </c>
      <c r="K12" s="53">
        <f ca="1">I12*B22</f>
        <v>0</v>
      </c>
      <c r="L12" s="53">
        <f ca="1">I12-K12</f>
        <v>0</v>
      </c>
      <c r="M12" s="52"/>
    </row>
    <row r="13" spans="1:13" s="8" customFormat="1" hidden="1" outlineLevel="2" x14ac:dyDescent="0.25">
      <c r="A13" s="9" t="s">
        <v>4</v>
      </c>
      <c r="B13" s="8">
        <f ca="1">IF(E44=0,MIN(B41*E53, E42 - B11 - B12), MIN(E42-B11-B12,E46))</f>
        <v>0</v>
      </c>
      <c r="C13" s="54">
        <f ca="1">VLOOKUP(B1,Data_Table,COLUMN(CS3R),FALSE)</f>
        <v>0</v>
      </c>
      <c r="D13" s="53">
        <f ca="1">C13-(C13*B22)</f>
        <v>0</v>
      </c>
      <c r="E13" s="53">
        <f ca="1">C13+(C13*B57)</f>
        <v>0</v>
      </c>
      <c r="F13" s="53">
        <f ca="1">E13-(E13*B22)</f>
        <v>0</v>
      </c>
      <c r="G13" s="53">
        <f ca="1">B13*C13</f>
        <v>0</v>
      </c>
      <c r="H13" s="53">
        <f ca="1">G13*B57</f>
        <v>0</v>
      </c>
      <c r="I13" s="53">
        <f ca="1">G13+H13</f>
        <v>0</v>
      </c>
      <c r="J13" s="53">
        <f ca="1">G13*B22</f>
        <v>0</v>
      </c>
      <c r="K13" s="53">
        <f ca="1">I13*B22</f>
        <v>0</v>
      </c>
      <c r="L13" s="53">
        <f t="shared" ref="L13:L15" ca="1" si="2">I13-K13</f>
        <v>0</v>
      </c>
      <c r="M13" s="52"/>
    </row>
    <row r="14" spans="1:13" s="8" customFormat="1" hidden="1" outlineLevel="2" x14ac:dyDescent="0.25">
      <c r="A14" s="9" t="s">
        <v>5</v>
      </c>
      <c r="B14" s="8">
        <f ca="1">IF(E44=0,MIN(B41*E54, E42 - B11 - B12 - B13),E42-B11-B12-B13)</f>
        <v>0</v>
      </c>
      <c r="C14" s="54">
        <f ca="1">VLOOKUP(B1,Data_Table,COLUMN(CS4R),FALSE)</f>
        <v>0</v>
      </c>
      <c r="D14" s="53">
        <f ca="1">C14-(C14*B22)</f>
        <v>0</v>
      </c>
      <c r="E14" s="53">
        <f ca="1">C14+(C14*B57)</f>
        <v>0</v>
      </c>
      <c r="F14" s="53">
        <f ca="1">E14-(E14*B22)</f>
        <v>0</v>
      </c>
      <c r="G14" s="53">
        <f ca="1">B14*C14</f>
        <v>0</v>
      </c>
      <c r="H14" s="53">
        <f ca="1">G14*B57</f>
        <v>0</v>
      </c>
      <c r="I14" s="53">
        <f t="shared" ref="I14:I15" ca="1" si="3">G14+H14</f>
        <v>0</v>
      </c>
      <c r="J14" s="53">
        <f ca="1">G14*B22</f>
        <v>0</v>
      </c>
      <c r="K14" s="53">
        <f ca="1">I14*B22</f>
        <v>0</v>
      </c>
      <c r="L14" s="53">
        <f ca="1">I14-K14</f>
        <v>0</v>
      </c>
      <c r="M14" s="52"/>
    </row>
    <row r="15" spans="1:13" s="8" customFormat="1" hidden="1" outlineLevel="2" x14ac:dyDescent="0.25">
      <c r="A15" s="9" t="s">
        <v>6</v>
      </c>
      <c r="B15" s="8">
        <f ca="1">E42 - B11 - B12 - B13 - B14</f>
        <v>0</v>
      </c>
      <c r="C15" s="54">
        <f ca="1">VLOOKUP(B1,Data_Table,COLUMN(CS5R),FALSE)</f>
        <v>0</v>
      </c>
      <c r="D15" s="53">
        <f ca="1">C15-(C15*B22)</f>
        <v>0</v>
      </c>
      <c r="E15" s="53">
        <f ca="1">C15+(C15*B57)</f>
        <v>0</v>
      </c>
      <c r="F15" s="53">
        <f ca="1">E15-(E15*B22)</f>
        <v>0</v>
      </c>
      <c r="G15" s="53">
        <f ca="1">B15*C15</f>
        <v>0</v>
      </c>
      <c r="H15" s="53">
        <f ca="1">G15*B57</f>
        <v>0</v>
      </c>
      <c r="I15" s="53">
        <f t="shared" ca="1" si="3"/>
        <v>0</v>
      </c>
      <c r="J15" s="53">
        <f ca="1">G15*B22</f>
        <v>0</v>
      </c>
      <c r="K15" s="53">
        <f ca="1">I15*B22</f>
        <v>0</v>
      </c>
      <c r="L15" s="53">
        <f t="shared" ca="1" si="2"/>
        <v>0</v>
      </c>
      <c r="M15" s="52"/>
    </row>
    <row r="16" spans="1:13" s="1" customFormat="1" hidden="1" outlineLevel="1" collapsed="1" x14ac:dyDescent="0.25">
      <c r="A16" s="70" t="s">
        <v>9</v>
      </c>
      <c r="B16" s="74">
        <f ca="1">B11+B12+B13+B14+B15</f>
        <v>0</v>
      </c>
      <c r="C16" s="74"/>
      <c r="D16" s="78"/>
      <c r="E16" s="74"/>
      <c r="F16" s="74"/>
      <c r="G16" s="76">
        <f ca="1">G11+G12+G13+G14+G15</f>
        <v>0</v>
      </c>
      <c r="H16" s="76">
        <f ca="1">G16*B57</f>
        <v>0</v>
      </c>
      <c r="I16" s="76">
        <f ca="1">G16+H16</f>
        <v>0</v>
      </c>
      <c r="J16" s="76">
        <f ca="1">G16*B22</f>
        <v>0</v>
      </c>
      <c r="K16" s="76">
        <f ca="1">I16*B22</f>
        <v>0</v>
      </c>
      <c r="L16" s="76">
        <f ca="1">I16-K16</f>
        <v>0</v>
      </c>
      <c r="M16" s="45"/>
    </row>
    <row r="17" spans="1:13" s="2" customFormat="1" ht="15.75" hidden="1" outlineLevel="1" thickBot="1" x14ac:dyDescent="0.3">
      <c r="C17"/>
      <c r="D17"/>
      <c r="E17" s="6"/>
      <c r="F17" s="6"/>
      <c r="G17"/>
      <c r="H17"/>
      <c r="I17"/>
      <c r="J17"/>
      <c r="K17"/>
      <c r="L17"/>
      <c r="M17" s="22"/>
    </row>
    <row r="18" spans="1:13" s="3" customFormat="1" ht="15.75" hidden="1" outlineLevel="1" thickBot="1" x14ac:dyDescent="0.3">
      <c r="A18" s="87" t="s">
        <v>10</v>
      </c>
      <c r="B18" s="1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4"/>
    </row>
    <row r="19" spans="1:13" s="51" customFormat="1" hidden="1" outlineLevel="1" x14ac:dyDescent="0.25">
      <c r="A19" s="46" t="s">
        <v>7</v>
      </c>
      <c r="B19" s="47"/>
      <c r="C19" s="48">
        <f ca="1">VLOOKUP(B1,Data_Table,COLUMN(ESupply),FALSE)</f>
        <v>0.82554499999999997</v>
      </c>
      <c r="D19" s="49">
        <f ca="1">IF(VLOOKUP(B1,Data_Table,COLUMN(DiscountWholeBill),FALSE)=1,C19-(C19*B22),C19)</f>
        <v>0.75124594999999994</v>
      </c>
      <c r="E19" s="49">
        <f ca="1">C19+(C19*B57)</f>
        <v>0.90809949999999995</v>
      </c>
      <c r="F19" s="49">
        <f ca="1">IF(VLOOKUP(B1,Data_Table,COLUMN(DiscountWholeBill),FALSE)=1,E19-(E19*B22),E19)</f>
        <v>0.82637054499999996</v>
      </c>
      <c r="G19" s="79">
        <f ca="1">B41*C19</f>
        <v>74.299049999999994</v>
      </c>
      <c r="H19" s="79">
        <f ca="1">G19*B57</f>
        <v>7.4299049999999998</v>
      </c>
      <c r="I19" s="79">
        <f ca="1">G19+H19</f>
        <v>81.728954999999999</v>
      </c>
      <c r="J19" s="79">
        <f ca="1">IF(VLOOKUP(B1,Data_Table,COLUMN(DiscountWholeBill),FALSE)=1,G19*B22,0)</f>
        <v>6.6869144999999994</v>
      </c>
      <c r="K19" s="79">
        <f ca="1">IF(VLOOKUP(B1,Data_Table,COLUMN(DiscountWholeBill),FALSE)=1,I19*B22,0)</f>
        <v>7.3556059499999993</v>
      </c>
      <c r="L19" s="79">
        <f ca="1">I19-K19</f>
        <v>74.373349050000002</v>
      </c>
      <c r="M19" s="50"/>
    </row>
    <row r="20" spans="1:13" s="2" customFormat="1" ht="15.75" hidden="1" outlineLevel="1" thickBot="1" x14ac:dyDescent="0.3">
      <c r="A20"/>
      <c r="B20"/>
      <c r="C20"/>
      <c r="D20"/>
      <c r="E20" s="6"/>
      <c r="F20" s="6"/>
      <c r="G20"/>
      <c r="H20"/>
      <c r="I20"/>
      <c r="J20"/>
      <c r="K20"/>
      <c r="L20"/>
    </row>
    <row r="21" spans="1:13" s="2" customFormat="1" ht="15.75" collapsed="1" thickBot="1" x14ac:dyDescent="0.3">
      <c r="A21" s="62" t="s">
        <v>190</v>
      </c>
      <c r="B21" s="64"/>
      <c r="C21" s="65"/>
      <c r="D21" s="65"/>
      <c r="E21" s="66"/>
      <c r="F21" s="66"/>
      <c r="G21" s="84">
        <f ca="1">G8+G16+G19</f>
        <v>440.11704999999995</v>
      </c>
      <c r="H21" s="84">
        <f ca="1">H8+H16+H19</f>
        <v>44.011704999999999</v>
      </c>
      <c r="I21" s="84">
        <f ca="1">I8+I16+I19</f>
        <v>484.12875499999996</v>
      </c>
      <c r="J21" s="84">
        <f ca="1">J8+J16+J19</f>
        <v>39.6105345</v>
      </c>
      <c r="K21" s="84">
        <f ca="1">K8+K16+K19</f>
        <v>43.571587949999994</v>
      </c>
      <c r="L21" s="88">
        <f ca="1">L8+L16+L19</f>
        <v>440.55716704999998</v>
      </c>
      <c r="M21" s="85">
        <f ca="1">L21+(L21*L1)</f>
        <v>443.20051005229999</v>
      </c>
    </row>
    <row r="22" spans="1:13" s="2" customFormat="1" x14ac:dyDescent="0.25">
      <c r="A22" t="s">
        <v>78</v>
      </c>
      <c r="B22" s="40">
        <f ca="1">VLOOKUP(B1,Data_Table,COLUMN(EDiscount),FALSE)</f>
        <v>0.09</v>
      </c>
      <c r="C22" s="68"/>
      <c r="D22" s="68"/>
      <c r="E22" s="69"/>
      <c r="F22" s="69"/>
      <c r="G22" s="68"/>
      <c r="H22" s="68"/>
      <c r="I22" s="68"/>
      <c r="J22" s="68"/>
      <c r="K22" s="72" t="s">
        <v>191</v>
      </c>
      <c r="L22" s="90">
        <f ca="1">I42*I44</f>
        <v>180</v>
      </c>
      <c r="M22" s="68"/>
    </row>
    <row r="23" spans="1:13" s="2" customFormat="1" ht="15.75" thickBot="1" x14ac:dyDescent="0.3">
      <c r="A23" t="s">
        <v>74</v>
      </c>
      <c r="B23" s="38" t="str">
        <f ca="1">IF(VLOOKUP(B1,Data_Table,COLUMN(DiscountWholeBill),FALSE)=0,"No","Yes")</f>
        <v>Yes</v>
      </c>
      <c r="K23" s="8" t="s">
        <v>62</v>
      </c>
      <c r="L23" s="91">
        <f ca="1">L21-L22</f>
        <v>260.55716704999998</v>
      </c>
      <c r="M23" s="67">
        <f ca="1">M21-L22</f>
        <v>263.20051005229999</v>
      </c>
    </row>
    <row r="24" spans="1:13" s="2" customFormat="1" x14ac:dyDescent="0.25">
      <c r="K24" s="8"/>
      <c r="L24" s="22"/>
      <c r="M24" s="22"/>
    </row>
    <row r="25" spans="1:13" ht="15.75" thickBot="1" x14ac:dyDescent="0.3"/>
    <row r="26" spans="1:13" s="3" customFormat="1" ht="15.75" customHeight="1" thickBot="1" x14ac:dyDescent="0.3">
      <c r="A26" s="87" t="s">
        <v>12</v>
      </c>
      <c r="B26" s="73" t="s">
        <v>13</v>
      </c>
      <c r="C26" s="73" t="s">
        <v>17</v>
      </c>
      <c r="D26" s="73" t="s">
        <v>75</v>
      </c>
      <c r="E26" s="73" t="s">
        <v>21</v>
      </c>
      <c r="F26" s="73" t="s">
        <v>64</v>
      </c>
      <c r="G26" s="73" t="s">
        <v>18</v>
      </c>
      <c r="H26" s="73" t="s">
        <v>3</v>
      </c>
      <c r="I26" s="73" t="s">
        <v>19</v>
      </c>
      <c r="J26" s="73" t="s">
        <v>66</v>
      </c>
      <c r="K26" s="73" t="s">
        <v>65</v>
      </c>
      <c r="L26" s="73" t="s">
        <v>69</v>
      </c>
      <c r="M26" s="73" t="s">
        <v>77</v>
      </c>
    </row>
    <row r="27" spans="1:13" ht="15" hidden="1" customHeight="1" outlineLevel="2" x14ac:dyDescent="0.25">
      <c r="A27" t="s">
        <v>0</v>
      </c>
      <c r="B27" s="6">
        <f ca="1">IF(L44=0,MIN(L41*L51,L42), MIN(L42, L44))</f>
        <v>4339.7287999999999</v>
      </c>
      <c r="C27" s="10">
        <f ca="1">VLOOKUP(B1,Data_Table,COLUMN(GS1R),FALSE)</f>
        <v>4.1544999999999999E-2</v>
      </c>
      <c r="D27" s="6">
        <f ca="1">C27-(C27*B38)</f>
        <v>3.73905E-2</v>
      </c>
      <c r="E27" s="6">
        <f ca="1">C27+(C27*B57)</f>
        <v>4.5699499999999997E-2</v>
      </c>
      <c r="F27" s="6">
        <f ca="1">E27-(E27*B38)</f>
        <v>4.1129550000000001E-2</v>
      </c>
      <c r="G27" s="6">
        <f ca="1">B27*C27</f>
        <v>180.294032996</v>
      </c>
      <c r="H27" s="6">
        <f ca="1">G27*B57</f>
        <v>18.029403299600002</v>
      </c>
      <c r="I27" s="6">
        <f ca="1">G27+H27</f>
        <v>198.3234362956</v>
      </c>
      <c r="J27" s="6">
        <f ca="1">G27*B38</f>
        <v>18.029403299600002</v>
      </c>
      <c r="K27" s="6">
        <f ca="1">I27*B38</f>
        <v>19.83234362956</v>
      </c>
      <c r="L27" s="6">
        <f ca="1">I27-K27</f>
        <v>178.49109266604</v>
      </c>
    </row>
    <row r="28" spans="1:13" ht="15" hidden="1" customHeight="1" outlineLevel="2" x14ac:dyDescent="0.25">
      <c r="A28" t="s">
        <v>1</v>
      </c>
      <c r="B28" s="6">
        <f ca="1">IF(L44=0,MIN(L41*L52,L42-B27),MIN(L42-B27, L45))</f>
        <v>660.27120000000014</v>
      </c>
      <c r="C28" s="10">
        <f ca="1">VLOOKUP(B1,Data_Table,COLUMN(GS2R),FALSE)</f>
        <v>1.9909E-2</v>
      </c>
      <c r="D28" s="6">
        <f ca="1">C28-(C28*B38)</f>
        <v>1.7918099999999999E-2</v>
      </c>
      <c r="E28" s="6">
        <f ca="1">C28+(C28*B57)</f>
        <v>2.18999E-2</v>
      </c>
      <c r="F28" s="6">
        <f ca="1">E28-(E28*B38)</f>
        <v>1.9709910000000001E-2</v>
      </c>
      <c r="G28" s="6">
        <f ca="1">B28*C28</f>
        <v>13.145339320800002</v>
      </c>
      <c r="H28" s="6">
        <f ca="1">G28*B57</f>
        <v>1.3145339320800002</v>
      </c>
      <c r="I28" s="6">
        <f ca="1">G28+H28</f>
        <v>14.459873252880001</v>
      </c>
      <c r="J28" s="6">
        <f ca="1">G28*B38</f>
        <v>1.3145339320800002</v>
      </c>
      <c r="K28" s="6">
        <f ca="1">I28*B38</f>
        <v>1.4459873252880002</v>
      </c>
      <c r="L28" s="6">
        <f ca="1">I28-K28</f>
        <v>13.013885927592002</v>
      </c>
    </row>
    <row r="29" spans="1:13" ht="15" hidden="1" customHeight="1" outlineLevel="2" x14ac:dyDescent="0.25">
      <c r="A29" t="s">
        <v>4</v>
      </c>
      <c r="B29" s="6">
        <f ca="1">IF(L44=0,MIN(L41*L53,L42 - B27 - B28),MIN(L42-B27-B28, L46))</f>
        <v>0</v>
      </c>
      <c r="C29" s="10">
        <f ca="1">VLOOKUP(B1,Data_Table,COLUMN(GS3R),FALSE)</f>
        <v>0</v>
      </c>
      <c r="D29" s="6">
        <f ca="1">C29-(C29*B22)</f>
        <v>0</v>
      </c>
      <c r="E29" s="6">
        <f ca="1">C29+(C29*B57)</f>
        <v>0</v>
      </c>
      <c r="F29" s="6">
        <f ca="1">E29-(E29*B38)</f>
        <v>0</v>
      </c>
      <c r="G29" s="6">
        <f ca="1">B29*C29</f>
        <v>0</v>
      </c>
      <c r="H29" s="6">
        <f ca="1">G29*B57</f>
        <v>0</v>
      </c>
      <c r="I29" s="6">
        <f ca="1">G29+H29</f>
        <v>0</v>
      </c>
      <c r="J29" s="6">
        <f ca="1">G29*B38</f>
        <v>0</v>
      </c>
      <c r="K29" s="6">
        <f ca="1">I29*B38</f>
        <v>0</v>
      </c>
      <c r="L29" s="6">
        <f ca="1">I29-K29</f>
        <v>0</v>
      </c>
    </row>
    <row r="30" spans="1:13" ht="15" hidden="1" customHeight="1" outlineLevel="2" x14ac:dyDescent="0.25">
      <c r="A30" t="s">
        <v>5</v>
      </c>
      <c r="B30" s="6">
        <f ca="1">IF(L44=0,MIN(L41*L54,L42 - B27 - B28 - B29),L42-B27-B28-B29)</f>
        <v>0</v>
      </c>
      <c r="C30" s="10">
        <f ca="1">VLOOKUP(B1,Data_Table,COLUMN(GS4R),FALSE)</f>
        <v>0</v>
      </c>
      <c r="D30" s="6">
        <f ca="1">C30-(C30*B22)</f>
        <v>0</v>
      </c>
      <c r="E30" s="6">
        <f ca="1">C30+(C30*B57)</f>
        <v>0</v>
      </c>
      <c r="F30" s="6">
        <f ca="1">E30-(E30*B38)</f>
        <v>0</v>
      </c>
      <c r="G30" s="6">
        <f t="shared" ref="G30:G31" ca="1" si="4">B30*C30</f>
        <v>0</v>
      </c>
      <c r="H30" s="6">
        <f ca="1">G30*B57</f>
        <v>0</v>
      </c>
      <c r="I30" s="6">
        <f ca="1">G30+H30</f>
        <v>0</v>
      </c>
      <c r="J30" s="6">
        <f ca="1">G30*B38</f>
        <v>0</v>
      </c>
      <c r="K30" s="6">
        <f ca="1">I30*B38</f>
        <v>0</v>
      </c>
      <c r="L30" s="6">
        <f ca="1">I30-K30</f>
        <v>0</v>
      </c>
    </row>
    <row r="31" spans="1:13" ht="15" hidden="1" customHeight="1" outlineLevel="2" x14ac:dyDescent="0.25">
      <c r="A31" t="s">
        <v>6</v>
      </c>
      <c r="B31" s="6">
        <f ca="1">L42 - B27 - B28 - B29 - B30</f>
        <v>0</v>
      </c>
      <c r="C31" s="10">
        <f ca="1">VLOOKUP(B1,Data_Table,COLUMN(GS5R),FALSE)</f>
        <v>0</v>
      </c>
      <c r="D31" s="6">
        <f ca="1">C31-(C31*B22)</f>
        <v>0</v>
      </c>
      <c r="E31" s="6">
        <f ca="1">C31+(C31*B57)</f>
        <v>0</v>
      </c>
      <c r="F31" s="6">
        <f ca="1">E31-(E31*B38)</f>
        <v>0</v>
      </c>
      <c r="G31" s="6">
        <f t="shared" ca="1" si="4"/>
        <v>0</v>
      </c>
      <c r="H31" s="6">
        <f ca="1">G31*B57</f>
        <v>0</v>
      </c>
      <c r="I31" s="6">
        <f t="shared" ref="I31" ca="1" si="5">G31+H31</f>
        <v>0</v>
      </c>
      <c r="J31" s="6">
        <f ca="1">G31*B38</f>
        <v>0</v>
      </c>
      <c r="K31" s="6">
        <f ca="1">I31*B38</f>
        <v>0</v>
      </c>
      <c r="L31" s="6">
        <f t="shared" ref="L31" ca="1" si="6">I31-K31</f>
        <v>0</v>
      </c>
    </row>
    <row r="32" spans="1:13" s="1" customFormat="1" ht="15" hidden="1" customHeight="1" outlineLevel="1" collapsed="1" x14ac:dyDescent="0.25">
      <c r="A32" s="71" t="s">
        <v>9</v>
      </c>
      <c r="B32" s="80">
        <f ca="1">B27+B28+B29+B30+B31</f>
        <v>5000</v>
      </c>
      <c r="C32" s="80"/>
      <c r="D32" s="80"/>
      <c r="E32" s="80"/>
      <c r="F32" s="80"/>
      <c r="G32" s="81">
        <f ca="1">G27+G28+G29+G30+G31</f>
        <v>193.43937231679999</v>
      </c>
      <c r="H32" s="81">
        <f ca="1">G32*B57</f>
        <v>19.343937231680002</v>
      </c>
      <c r="I32" s="81">
        <f ca="1">G32+H32</f>
        <v>212.78330954847999</v>
      </c>
      <c r="J32" s="81">
        <f ca="1">G32*B38</f>
        <v>19.343937231680002</v>
      </c>
      <c r="K32" s="81">
        <f ca="1">I32*B38</f>
        <v>21.278330954848002</v>
      </c>
      <c r="L32" s="81">
        <f ca="1">I32-K32</f>
        <v>191.50497859363199</v>
      </c>
    </row>
    <row r="33" spans="1:13" ht="15.75" hidden="1" customHeight="1" outlineLevel="1" thickBot="1" x14ac:dyDescent="0.3"/>
    <row r="34" spans="1:13" s="3" customFormat="1" ht="15.75" hidden="1" customHeight="1" outlineLevel="1" thickBot="1" x14ac:dyDescent="0.3">
      <c r="A34" s="87" t="s">
        <v>10</v>
      </c>
      <c r="B34" s="1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5" hidden="1" customHeight="1" outlineLevel="1" x14ac:dyDescent="0.25">
      <c r="A35" t="s">
        <v>7</v>
      </c>
      <c r="B35" s="35"/>
      <c r="C35" s="31">
        <f ca="1">VLOOKUP(B1,Data_Table,COLUMN(GSupply),FALSE)</f>
        <v>0.71536299999999997</v>
      </c>
      <c r="D35" s="34">
        <f ca="1">IF(VLOOKUP(B1,Data_Table,COLUMN(DiscountWholeBill),FALSE)=1,C35-(C35*B38),C35)</f>
        <v>0.64382669999999997</v>
      </c>
      <c r="E35" s="34">
        <f ca="1">C35+(C35*B57)</f>
        <v>0.78689929999999997</v>
      </c>
      <c r="F35" s="34">
        <f ca="1">IF(VLOOKUP(B1,Data_Table,COLUMN(DiscountWholeBill),FALSE)=1,E35-(E35*B38),E35)</f>
        <v>0.70820936999999995</v>
      </c>
      <c r="G35" s="82">
        <f ca="1">L41*C35</f>
        <v>62.951943999999997</v>
      </c>
      <c r="H35" s="82">
        <f ca="1">G35*B57</f>
        <v>6.2951943999999997</v>
      </c>
      <c r="I35" s="82">
        <f ca="1">G35+H35</f>
        <v>69.247138399999997</v>
      </c>
      <c r="J35" s="82">
        <f ca="1">IF(VLOOKUP(B1,Data_Table,COLUMN(DiscountWholeBill),FALSE)=1,G35*B38,0)</f>
        <v>6.2951943999999997</v>
      </c>
      <c r="K35" s="82">
        <f ca="1">IF(VLOOKUP(B1,Data_Table,COLUMN(DiscountWholeBill),FALSE)=1,I35*B38,0)</f>
        <v>6.9247138399999999</v>
      </c>
      <c r="L35" s="82">
        <f ca="1">I35-K35</f>
        <v>62.322424559999995</v>
      </c>
    </row>
    <row r="36" spans="1:13" ht="15.75" hidden="1" customHeight="1" outlineLevel="1" thickBot="1" x14ac:dyDescent="0.3">
      <c r="M36" s="35"/>
    </row>
    <row r="37" spans="1:13" s="4" customFormat="1" ht="15.75" collapsed="1" thickBot="1" x14ac:dyDescent="0.3">
      <c r="A37" s="62" t="s">
        <v>20</v>
      </c>
      <c r="B37" s="64"/>
      <c r="C37" s="65"/>
      <c r="D37" s="65"/>
      <c r="E37" s="66"/>
      <c r="F37" s="66"/>
      <c r="G37" s="83">
        <f ca="1">G32+G35</f>
        <v>256.39131631679999</v>
      </c>
      <c r="H37" s="83">
        <f ca="1">H32+H35</f>
        <v>25.639131631680002</v>
      </c>
      <c r="I37" s="83">
        <f ca="1">I32+I35</f>
        <v>282.03044794848</v>
      </c>
      <c r="J37" s="83">
        <f ca="1">J32+J35</f>
        <v>25.639131631680002</v>
      </c>
      <c r="K37" s="83">
        <f ca="1">K32+K35</f>
        <v>28.203044794848001</v>
      </c>
      <c r="L37" s="89">
        <f ca="1">L32+L35</f>
        <v>253.82740315363199</v>
      </c>
      <c r="M37" s="63">
        <f ca="1">L37+(L37*L1)</f>
        <v>255.35036757255378</v>
      </c>
    </row>
    <row r="38" spans="1:13" x14ac:dyDescent="0.25">
      <c r="A38" t="s">
        <v>78</v>
      </c>
      <c r="B38" s="40">
        <f ca="1">VLOOKUP(B1,Data_Table,COLUMN(GDiscount),FALSE)</f>
        <v>0.1</v>
      </c>
      <c r="F38" s="28"/>
    </row>
    <row r="39" spans="1:13" ht="15.75" thickBot="1" x14ac:dyDescent="0.3">
      <c r="B39" s="40"/>
      <c r="F39" s="9"/>
    </row>
    <row r="40" spans="1:13" ht="15.75" thickBot="1" x14ac:dyDescent="0.3">
      <c r="A40" s="23" t="s">
        <v>57</v>
      </c>
      <c r="D40" s="42" t="s">
        <v>86</v>
      </c>
      <c r="E40"/>
      <c r="G40" s="25" t="s">
        <v>59</v>
      </c>
      <c r="H40" s="29"/>
      <c r="I40" s="27"/>
      <c r="K40" s="23" t="s">
        <v>12</v>
      </c>
    </row>
    <row r="41" spans="1:13" x14ac:dyDescent="0.25">
      <c r="A41" s="20" t="s">
        <v>8</v>
      </c>
      <c r="B41" s="17">
        <v>90</v>
      </c>
      <c r="D41" s="43"/>
      <c r="E41" s="17"/>
      <c r="G41" s="21"/>
      <c r="H41" s="26"/>
      <c r="I41" s="17"/>
      <c r="K41" s="20" t="s">
        <v>8</v>
      </c>
      <c r="L41" s="17">
        <v>88</v>
      </c>
    </row>
    <row r="42" spans="1:13" ht="15.75" thickBot="1" x14ac:dyDescent="0.3">
      <c r="A42" s="18" t="s">
        <v>22</v>
      </c>
      <c r="B42" s="19">
        <v>1000</v>
      </c>
      <c r="D42" s="41" t="s">
        <v>22</v>
      </c>
      <c r="E42" s="19">
        <v>0</v>
      </c>
      <c r="G42" s="18" t="s">
        <v>22</v>
      </c>
      <c r="H42" s="24"/>
      <c r="I42" s="19">
        <v>1000</v>
      </c>
      <c r="K42" s="18" t="s">
        <v>14</v>
      </c>
      <c r="L42" s="19">
        <v>5000</v>
      </c>
    </row>
    <row r="43" spans="1:13" x14ac:dyDescent="0.25">
      <c r="A43" s="2"/>
      <c r="B43" s="7"/>
      <c r="E43"/>
      <c r="G43" s="6"/>
      <c r="H43" s="6"/>
      <c r="L43" s="5"/>
    </row>
    <row r="44" spans="1:13" hidden="1" outlineLevel="1" x14ac:dyDescent="0.25">
      <c r="A44" s="8" t="s">
        <v>16</v>
      </c>
      <c r="B44" s="11">
        <f ca="1">VLOOKUP(B1,Data_Table,COLUMN(ES1Q),FALSE)</f>
        <v>4000</v>
      </c>
      <c r="D44" t="s">
        <v>16</v>
      </c>
      <c r="E44" s="10">
        <f ca="1">VLOOKUP(B1,Data_Table,COLUMN(CS1Q),FALSE)</f>
        <v>0</v>
      </c>
      <c r="G44" s="6" t="s">
        <v>60</v>
      </c>
      <c r="H44" s="6"/>
      <c r="I44" s="10">
        <f ca="1">VLOOKUP(B1,Data_Table,COLUMN(SolarFeed),FALSE)</f>
        <v>0.18</v>
      </c>
      <c r="K44" t="s">
        <v>16</v>
      </c>
      <c r="L44" s="10">
        <f ca="1">VLOOKUP(B1,Data_Table,COLUMN(GS1Q),FALSE)</f>
        <v>0</v>
      </c>
    </row>
    <row r="45" spans="1:13" hidden="1" outlineLevel="1" x14ac:dyDescent="0.25">
      <c r="A45" s="8" t="s">
        <v>26</v>
      </c>
      <c r="B45" s="11">
        <f ca="1">VLOOKUP(B1,Data_Table,COLUMN(ES2Q),FALSE)</f>
        <v>100000</v>
      </c>
      <c r="D45" t="s">
        <v>26</v>
      </c>
      <c r="E45" s="10">
        <f ca="1">VLOOKUP(B1,Data_Table,COLUMN(CS2Q),FALSE)</f>
        <v>0</v>
      </c>
      <c r="G45" s="6"/>
      <c r="H45" s="6"/>
      <c r="K45" t="s">
        <v>26</v>
      </c>
      <c r="L45" s="10">
        <f ca="1">VLOOKUP(B1,Data_Table,COLUMN(GS2Q),FALSE)</f>
        <v>0</v>
      </c>
    </row>
    <row r="46" spans="1:13" hidden="1" outlineLevel="1" x14ac:dyDescent="0.25">
      <c r="A46" s="9" t="s">
        <v>27</v>
      </c>
      <c r="B46" s="12">
        <f ca="1">VLOOKUP(B1,Data_Table,COLUMN(ES3Q),FALSE)</f>
        <v>0</v>
      </c>
      <c r="D46" t="s">
        <v>27</v>
      </c>
      <c r="E46" s="10">
        <f ca="1">VLOOKUP(B1,Data_Table,COLUMN(CS3Q),FALSE)</f>
        <v>0</v>
      </c>
      <c r="G46" s="9"/>
      <c r="H46" s="9"/>
      <c r="K46" t="s">
        <v>27</v>
      </c>
      <c r="L46" s="10">
        <f ca="1">VLOOKUP(B1,Data_Table,COLUMN(GS3Q),FALSE)</f>
        <v>0</v>
      </c>
    </row>
    <row r="47" spans="1:13" hidden="1" outlineLevel="1" x14ac:dyDescent="0.25">
      <c r="A47" s="9" t="s">
        <v>52</v>
      </c>
      <c r="B47" s="12">
        <f ca="1">VLOOKUP(B1,Data_Table,COLUMN(ES4Q),FALSE)</f>
        <v>0</v>
      </c>
      <c r="D47" t="s">
        <v>52</v>
      </c>
      <c r="E47" s="10">
        <f ca="1">VLOOKUP(B1,Data_Table,COLUMN(CS4Q),FALSE)</f>
        <v>0</v>
      </c>
      <c r="G47" s="9"/>
      <c r="H47" s="9"/>
      <c r="K47" t="s">
        <v>52</v>
      </c>
      <c r="L47" s="10">
        <f ca="1">VLOOKUP(B1,Data_Table,COLUMN(GS4Q),FALSE)</f>
        <v>0</v>
      </c>
    </row>
    <row r="48" spans="1:13" hidden="1" outlineLevel="1" x14ac:dyDescent="0.25">
      <c r="A48" s="9" t="s">
        <v>53</v>
      </c>
      <c r="B48" s="12">
        <f ca="1">VLOOKUP(B1,Data_Table,COLUMN(ES5Q),FALSE)</f>
        <v>0</v>
      </c>
      <c r="D48" t="s">
        <v>53</v>
      </c>
      <c r="E48" s="10">
        <f ca="1">VLOOKUP(B1,Data_Table,COLUMN(CS5Q),FALSE)</f>
        <v>0</v>
      </c>
      <c r="G48" s="9"/>
      <c r="H48" s="9"/>
      <c r="I48" s="30"/>
      <c r="K48" t="s">
        <v>53</v>
      </c>
      <c r="L48" s="10">
        <f ca="1">VLOOKUP(B1,Data_Table,COLUMN(GS5Q),FALSE)</f>
        <v>0</v>
      </c>
    </row>
    <row r="49" spans="1:12" hidden="1" outlineLevel="1" x14ac:dyDescent="0.25">
      <c r="A49" s="9"/>
      <c r="B49" s="12"/>
      <c r="E49"/>
    </row>
    <row r="50" spans="1:12" hidden="1" outlineLevel="1" x14ac:dyDescent="0.25">
      <c r="A50" s="9"/>
      <c r="B50" s="10"/>
      <c r="E50"/>
    </row>
    <row r="51" spans="1:12" hidden="1" outlineLevel="1" x14ac:dyDescent="0.25">
      <c r="A51" t="s">
        <v>15</v>
      </c>
      <c r="B51" s="10">
        <f ca="1">VLOOKUP(B1,Data_Table,COLUMN(ES1D),FALSE)</f>
        <v>0</v>
      </c>
      <c r="D51" t="s">
        <v>15</v>
      </c>
      <c r="E51" s="10">
        <f ca="1">VLOOKUP(B1,Data_Table,COLUMN(CS1D),FALSE)</f>
        <v>100000</v>
      </c>
      <c r="K51" t="s">
        <v>15</v>
      </c>
      <c r="L51" s="10">
        <f ca="1">VLOOKUP(B1,Data_Table,COLUMN(GS1D),FALSE)</f>
        <v>49.315100000000001</v>
      </c>
    </row>
    <row r="52" spans="1:12" hidden="1" outlineLevel="1" x14ac:dyDescent="0.25">
      <c r="A52" t="s">
        <v>23</v>
      </c>
      <c r="B52" s="10">
        <f ca="1">VLOOKUP(B1,Data_Table,COLUMN(ES2D),FALSE)</f>
        <v>0</v>
      </c>
      <c r="D52" t="s">
        <v>23</v>
      </c>
      <c r="E52" s="10">
        <f ca="1">VLOOKUP(B1,Data_Table,COLUMN(CS2D),FALSE)</f>
        <v>0</v>
      </c>
      <c r="K52" t="s">
        <v>23</v>
      </c>
      <c r="L52" s="10">
        <f ca="1">VLOOKUP(B1,Data_Table,COLUMN(GS2D),FALSE)</f>
        <v>1000000</v>
      </c>
    </row>
    <row r="53" spans="1:12" hidden="1" outlineLevel="1" x14ac:dyDescent="0.25">
      <c r="A53" t="s">
        <v>24</v>
      </c>
      <c r="B53" s="10">
        <f ca="1">VLOOKUP(B1,Data_Table,COLUMN(ES3D),FALSE)</f>
        <v>0</v>
      </c>
      <c r="D53" t="s">
        <v>24</v>
      </c>
      <c r="E53" s="10">
        <f ca="1">VLOOKUP(B1,Data_Table,COLUMN(CS3D),FALSE)</f>
        <v>0</v>
      </c>
      <c r="K53" t="s">
        <v>24</v>
      </c>
      <c r="L53" s="10">
        <f ca="1">VLOOKUP(B1,Data_Table,COLUMN(GS3D),FALSE)</f>
        <v>0</v>
      </c>
    </row>
    <row r="54" spans="1:12" hidden="1" outlineLevel="1" x14ac:dyDescent="0.25">
      <c r="A54" t="s">
        <v>25</v>
      </c>
      <c r="B54" s="10">
        <f ca="1">VLOOKUP(B1,Data_Table,COLUMN(ES4D),FALSE)</f>
        <v>0</v>
      </c>
      <c r="D54" t="s">
        <v>25</v>
      </c>
      <c r="E54" s="10">
        <f ca="1">VLOOKUP(B1,Data_Table,COLUMN(CS4D),FALSE)</f>
        <v>0</v>
      </c>
      <c r="K54" t="s">
        <v>25</v>
      </c>
      <c r="L54" s="10">
        <f ca="1">VLOOKUP(B1,Data_Table,COLUMN(GS4D),FALSE)</f>
        <v>0</v>
      </c>
    </row>
    <row r="55" spans="1:12" hidden="1" outlineLevel="1" x14ac:dyDescent="0.25">
      <c r="A55" t="s">
        <v>54</v>
      </c>
      <c r="B55" s="10">
        <f ca="1">VLOOKUP(B1,Data_Table,COLUMN(ES5D),FALSE)</f>
        <v>0</v>
      </c>
      <c r="D55" t="s">
        <v>54</v>
      </c>
      <c r="E55" s="10">
        <f ca="1">VLOOKUP(B1,Data_Table,COLUMN(CS5D),FALSE)</f>
        <v>0</v>
      </c>
      <c r="K55" t="s">
        <v>54</v>
      </c>
      <c r="L55" s="10">
        <f ca="1">VLOOKUP(B1,Data_Table,COLUMN(GS5D),FALSE)</f>
        <v>0</v>
      </c>
    </row>
    <row r="56" spans="1:12" hidden="1" outlineLevel="1" x14ac:dyDescent="0.25">
      <c r="B56" s="5"/>
    </row>
    <row r="57" spans="1:12" collapsed="1" x14ac:dyDescent="0.25">
      <c r="A57" t="s">
        <v>11</v>
      </c>
      <c r="B57" s="39">
        <v>0.1</v>
      </c>
    </row>
  </sheetData>
  <dataConsolidate/>
  <dataValidations count="1">
    <dataValidation type="list" errorStyle="information" allowBlank="1" showInputMessage="1" showErrorMessage="1" promptTitle="Supplier" prompt="Pick one" sqref="B1">
      <formula1>SupplierNames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5"/>
  <sheetViews>
    <sheetView workbookViewId="0">
      <pane xSplit="1" topLeftCell="B1" activePane="topRight" state="frozen"/>
      <selection pane="topRight" activeCell="R66" sqref="R66"/>
    </sheetView>
  </sheetViews>
  <sheetFormatPr defaultColWidth="9.140625" defaultRowHeight="15" outlineLevelRow="1" x14ac:dyDescent="0.25"/>
  <cols>
    <col min="1" max="1" width="37" style="56" customWidth="1"/>
    <col min="2" max="2" width="6.7109375" style="35" customWidth="1"/>
    <col min="3" max="3" width="8.7109375" style="35" customWidth="1"/>
    <col min="4" max="4" width="6.7109375" style="35" customWidth="1"/>
    <col min="5" max="5" width="7.85546875" style="35" customWidth="1"/>
    <col min="6" max="6" width="7.140625" style="35" customWidth="1"/>
    <col min="7" max="7" width="7.28515625" style="35" customWidth="1"/>
    <col min="8" max="8" width="6.85546875" style="35" customWidth="1"/>
    <col min="9" max="9" width="7.5703125" style="35" customWidth="1"/>
    <col min="10" max="10" width="5.85546875" style="35" customWidth="1"/>
    <col min="11" max="11" width="7.5703125" style="35" customWidth="1"/>
    <col min="12" max="12" width="6.7109375" style="35" customWidth="1"/>
    <col min="13" max="13" width="7" style="35" customWidth="1"/>
    <col min="14" max="14" width="7.5703125" style="35" customWidth="1"/>
    <col min="15" max="16" width="7" style="35" customWidth="1"/>
    <col min="17" max="17" width="7.140625" style="35" customWidth="1"/>
    <col min="18" max="18" width="10.28515625" style="35" customWidth="1"/>
    <col min="19" max="34" width="9" style="35" customWidth="1"/>
    <col min="35" max="35" width="7.5703125" style="35" customWidth="1"/>
    <col min="36" max="36" width="7" style="35" customWidth="1"/>
    <col min="37" max="49" width="9.140625" style="35"/>
    <col min="50" max="50" width="10.140625" style="35" customWidth="1"/>
    <col min="51" max="51" width="8.85546875" style="35" customWidth="1"/>
    <col min="52" max="52" width="12.140625" style="35" customWidth="1"/>
    <col min="53" max="53" width="18.85546875" style="35" customWidth="1"/>
    <col min="54" max="54" width="11.28515625" style="35" customWidth="1"/>
    <col min="55" max="55" width="11.85546875" style="35" customWidth="1"/>
    <col min="56" max="16384" width="9.140625" style="35"/>
  </cols>
  <sheetData>
    <row r="1" spans="1:55" s="32" customFormat="1" ht="15.75" thickBot="1" x14ac:dyDescent="0.3">
      <c r="A1" s="55" t="s">
        <v>28</v>
      </c>
      <c r="B1" s="32" t="s">
        <v>29</v>
      </c>
      <c r="C1" s="32" t="s">
        <v>31</v>
      </c>
      <c r="D1" s="32" t="s">
        <v>32</v>
      </c>
      <c r="E1" s="32" t="s">
        <v>46</v>
      </c>
      <c r="F1" s="32" t="s">
        <v>33</v>
      </c>
      <c r="G1" s="32" t="s">
        <v>34</v>
      </c>
      <c r="H1" s="32" t="s">
        <v>47</v>
      </c>
      <c r="I1" s="32" t="s">
        <v>35</v>
      </c>
      <c r="J1" s="32" t="s">
        <v>36</v>
      </c>
      <c r="K1" s="32" t="s">
        <v>48</v>
      </c>
      <c r="L1" s="32" t="s">
        <v>37</v>
      </c>
      <c r="M1" s="32" t="s">
        <v>38</v>
      </c>
      <c r="N1" s="32" t="s">
        <v>70</v>
      </c>
      <c r="O1" s="32" t="s">
        <v>39</v>
      </c>
      <c r="P1" s="32" t="s">
        <v>40</v>
      </c>
      <c r="Q1" s="32" t="s">
        <v>49</v>
      </c>
      <c r="R1" s="32" t="s">
        <v>50</v>
      </c>
      <c r="S1" s="32" t="s">
        <v>67</v>
      </c>
      <c r="T1" s="32" t="s">
        <v>80</v>
      </c>
      <c r="U1" s="32" t="s">
        <v>81</v>
      </c>
      <c r="V1" s="32" t="s">
        <v>85</v>
      </c>
      <c r="W1" s="32" t="s">
        <v>83</v>
      </c>
      <c r="X1" s="32" t="s">
        <v>84</v>
      </c>
      <c r="Y1" s="32" t="s">
        <v>82</v>
      </c>
      <c r="Z1" s="32" t="s">
        <v>134</v>
      </c>
      <c r="AA1" s="32" t="s">
        <v>135</v>
      </c>
      <c r="AB1" s="32" t="s">
        <v>136</v>
      </c>
      <c r="AC1" s="32" t="s">
        <v>137</v>
      </c>
      <c r="AD1" s="32" t="s">
        <v>138</v>
      </c>
      <c r="AE1" s="32" t="s">
        <v>139</v>
      </c>
      <c r="AF1" s="32" t="s">
        <v>141</v>
      </c>
      <c r="AG1" s="32" t="s">
        <v>140</v>
      </c>
      <c r="AH1" s="32" t="s">
        <v>142</v>
      </c>
      <c r="AI1" s="32" t="s">
        <v>41</v>
      </c>
      <c r="AJ1" s="32" t="s">
        <v>30</v>
      </c>
      <c r="AK1" s="32" t="s">
        <v>87</v>
      </c>
      <c r="AL1" s="32" t="s">
        <v>42</v>
      </c>
      <c r="AM1" s="32" t="s">
        <v>43</v>
      </c>
      <c r="AN1" s="32" t="s">
        <v>88</v>
      </c>
      <c r="AO1" s="32" t="s">
        <v>44</v>
      </c>
      <c r="AP1" s="32" t="s">
        <v>45</v>
      </c>
      <c r="AQ1" s="32" t="s">
        <v>89</v>
      </c>
      <c r="AR1" s="32" t="s">
        <v>143</v>
      </c>
      <c r="AS1" s="32" t="s">
        <v>144</v>
      </c>
      <c r="AT1" s="32" t="s">
        <v>145</v>
      </c>
      <c r="AU1" s="32" t="s">
        <v>146</v>
      </c>
      <c r="AV1" s="32" t="s">
        <v>147</v>
      </c>
      <c r="AW1" s="32" t="s">
        <v>148</v>
      </c>
      <c r="AX1" s="32" t="s">
        <v>51</v>
      </c>
      <c r="AY1" s="32" t="s">
        <v>68</v>
      </c>
      <c r="AZ1" s="33" t="s">
        <v>61</v>
      </c>
      <c r="BA1" s="32" t="s">
        <v>71</v>
      </c>
      <c r="BB1" s="32" t="s">
        <v>72</v>
      </c>
      <c r="BC1" s="32" t="s">
        <v>73</v>
      </c>
    </row>
    <row r="2" spans="1:55" ht="15.75" thickTop="1" x14ac:dyDescent="0.25">
      <c r="A2" s="35"/>
    </row>
    <row r="3" spans="1:55" outlineLevel="1" x14ac:dyDescent="0.25">
      <c r="A3" s="56" t="s">
        <v>189</v>
      </c>
      <c r="B3" s="35">
        <v>0</v>
      </c>
      <c r="C3" s="35">
        <v>0.31929999999999997</v>
      </c>
      <c r="D3" s="35">
        <v>0</v>
      </c>
      <c r="E3" s="35">
        <v>100000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0.70469999999999999</v>
      </c>
      <c r="S3" s="35">
        <v>0</v>
      </c>
      <c r="T3" s="35">
        <v>0.1749</v>
      </c>
      <c r="U3" s="35">
        <v>0</v>
      </c>
      <c r="V3" s="35">
        <v>100000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  <c r="AG3" s="35">
        <v>0</v>
      </c>
      <c r="AH3" s="35">
        <v>0</v>
      </c>
      <c r="AI3" s="35">
        <v>3.5090900000000001E-2</v>
      </c>
      <c r="AJ3" s="35">
        <v>40000</v>
      </c>
      <c r="AK3" s="35">
        <v>0</v>
      </c>
      <c r="AL3" s="35">
        <v>3.1718000000000003E-2</v>
      </c>
      <c r="AM3" s="35">
        <v>100000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5">
        <v>0</v>
      </c>
      <c r="AX3" s="35">
        <v>0.6633</v>
      </c>
      <c r="AY3" s="35">
        <v>0</v>
      </c>
      <c r="AZ3" s="35">
        <v>0.14199999999999999</v>
      </c>
      <c r="BA3" s="35">
        <v>0</v>
      </c>
      <c r="BB3" s="35">
        <v>4.4999999999999997E-3</v>
      </c>
      <c r="BC3">
        <v>50.05</v>
      </c>
    </row>
    <row r="4" spans="1:55" outlineLevel="1" x14ac:dyDescent="0.25">
      <c r="A4" s="56" t="s">
        <v>184</v>
      </c>
      <c r="B4" s="35">
        <v>0</v>
      </c>
      <c r="C4" s="35">
        <v>0.33050000000000002</v>
      </c>
      <c r="D4" s="35">
        <v>0</v>
      </c>
      <c r="E4" s="35">
        <v>100000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0.72940000000000005</v>
      </c>
      <c r="S4" s="35">
        <v>0</v>
      </c>
      <c r="T4" s="35">
        <v>0.18110000000000001</v>
      </c>
      <c r="U4" s="35">
        <v>0</v>
      </c>
      <c r="V4" s="35">
        <v>100000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3.73818E-2</v>
      </c>
      <c r="AJ4" s="35">
        <v>40000</v>
      </c>
      <c r="AK4" s="35">
        <v>0</v>
      </c>
      <c r="AL4" s="35">
        <v>3.3790899999999999E-2</v>
      </c>
      <c r="AM4" s="35">
        <v>100000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0.70660000000000001</v>
      </c>
      <c r="AY4" s="35">
        <v>0</v>
      </c>
      <c r="AZ4" s="35">
        <v>0.14199999999999999</v>
      </c>
      <c r="BA4" s="35">
        <v>0</v>
      </c>
      <c r="BB4" s="35">
        <v>4.4999999999999997E-3</v>
      </c>
      <c r="BC4">
        <v>50.05</v>
      </c>
    </row>
    <row r="5" spans="1:55" outlineLevel="1" x14ac:dyDescent="0.25">
      <c r="A5" s="56" t="s">
        <v>181</v>
      </c>
      <c r="B5" s="35">
        <v>0</v>
      </c>
      <c r="C5" s="35">
        <v>0.30149999999999999</v>
      </c>
      <c r="D5" s="35">
        <v>0</v>
      </c>
      <c r="E5" s="35">
        <v>3.2877000000000001</v>
      </c>
      <c r="F5" s="35">
        <v>0.33589999999999998</v>
      </c>
      <c r="G5" s="35">
        <v>0</v>
      </c>
      <c r="H5" s="35">
        <v>100000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0.83</v>
      </c>
      <c r="S5" s="35">
        <v>0</v>
      </c>
      <c r="T5" s="35">
        <v>0.16619999999999999</v>
      </c>
      <c r="U5" s="35">
        <v>0</v>
      </c>
      <c r="V5" s="35">
        <v>100000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3.3500000000000002E-2</v>
      </c>
      <c r="AJ5" s="35">
        <v>4500</v>
      </c>
      <c r="AK5" s="35">
        <v>0</v>
      </c>
      <c r="AL5" s="35">
        <v>2.58E-2</v>
      </c>
      <c r="AM5" s="35">
        <v>100000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0.69599999999999995</v>
      </c>
      <c r="AY5" s="35">
        <v>0</v>
      </c>
      <c r="AZ5">
        <v>9.5000000000000001E-2</v>
      </c>
      <c r="BA5" s="35">
        <v>0</v>
      </c>
      <c r="BB5" s="35">
        <v>0</v>
      </c>
      <c r="BC5" s="35">
        <v>0</v>
      </c>
    </row>
    <row r="6" spans="1:55" outlineLevel="1" x14ac:dyDescent="0.25">
      <c r="A6" s="56" t="s">
        <v>185</v>
      </c>
      <c r="B6" s="35">
        <v>0</v>
      </c>
      <c r="C6" s="35">
        <v>0.36581799999999998</v>
      </c>
      <c r="D6" s="35">
        <v>4000</v>
      </c>
      <c r="E6" s="35">
        <v>0</v>
      </c>
      <c r="F6" s="35">
        <v>0.39045400000000002</v>
      </c>
      <c r="G6" s="35">
        <v>100000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0.82554499999999997</v>
      </c>
      <c r="S6" s="35">
        <v>0.09</v>
      </c>
      <c r="T6" s="35">
        <v>0.198545</v>
      </c>
      <c r="U6" s="35">
        <v>0</v>
      </c>
      <c r="V6" s="35">
        <v>100000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4.1544999999999999E-2</v>
      </c>
      <c r="AJ6" s="35">
        <v>0</v>
      </c>
      <c r="AK6" s="35">
        <v>49.315100000000001</v>
      </c>
      <c r="AL6" s="35">
        <v>1.9909E-2</v>
      </c>
      <c r="AM6" s="35">
        <v>0</v>
      </c>
      <c r="AN6" s="35">
        <v>1000000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0.71536299999999997</v>
      </c>
      <c r="AY6" s="35">
        <v>0.1</v>
      </c>
      <c r="AZ6" s="35">
        <v>0.18</v>
      </c>
      <c r="BA6" s="35">
        <v>1</v>
      </c>
      <c r="BB6" s="35">
        <v>6.0000000000000001E-3</v>
      </c>
      <c r="BC6" s="35">
        <v>50.05</v>
      </c>
    </row>
    <row r="7" spans="1:55" outlineLevel="1" x14ac:dyDescent="0.25">
      <c r="A7" s="56" t="s">
        <v>183</v>
      </c>
      <c r="B7" s="35">
        <v>0</v>
      </c>
      <c r="C7" s="35">
        <v>0.36581799999999998</v>
      </c>
      <c r="D7" s="35">
        <v>4000</v>
      </c>
      <c r="E7" s="35">
        <v>0</v>
      </c>
      <c r="F7" s="35">
        <v>0.39045400000000002</v>
      </c>
      <c r="G7" s="35">
        <v>100000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0.82554499999999997</v>
      </c>
      <c r="S7" s="35">
        <v>0.15</v>
      </c>
      <c r="T7" s="35">
        <v>0.198545</v>
      </c>
      <c r="U7" s="35">
        <v>0</v>
      </c>
      <c r="V7" s="35">
        <v>100000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4.1544999999999999E-2</v>
      </c>
      <c r="AJ7" s="35">
        <v>0</v>
      </c>
      <c r="AK7" s="35">
        <v>49.315100000000001</v>
      </c>
      <c r="AL7" s="35">
        <v>1.9909E-2</v>
      </c>
      <c r="AM7" s="35">
        <v>0</v>
      </c>
      <c r="AN7" s="35">
        <v>1000000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0.71536299999999997</v>
      </c>
      <c r="AY7" s="35">
        <v>0.1</v>
      </c>
      <c r="AZ7" s="35">
        <v>0.1</v>
      </c>
      <c r="BA7" s="35">
        <v>1</v>
      </c>
      <c r="BB7" s="35">
        <v>6.0000000000000001E-3</v>
      </c>
      <c r="BC7" s="35">
        <v>50.05</v>
      </c>
    </row>
    <row r="8" spans="1:55" outlineLevel="1" x14ac:dyDescent="0.25">
      <c r="A8" s="56" t="s">
        <v>188</v>
      </c>
      <c r="B8" s="35">
        <v>0</v>
      </c>
      <c r="C8" s="35">
        <v>0.32169999999999999</v>
      </c>
      <c r="D8" s="35">
        <v>0</v>
      </c>
      <c r="E8" s="35">
        <v>100000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0.92</v>
      </c>
      <c r="S8" s="35">
        <v>0</v>
      </c>
      <c r="T8" s="35">
        <v>0.18679999999999999</v>
      </c>
      <c r="U8" s="35">
        <v>0</v>
      </c>
      <c r="V8" s="35">
        <v>100000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3.3500000000000002E-2</v>
      </c>
      <c r="AJ8" s="35">
        <v>0</v>
      </c>
      <c r="AK8" s="35">
        <v>49</v>
      </c>
      <c r="AL8" s="35">
        <v>1.78E-2</v>
      </c>
      <c r="AM8" s="35">
        <v>0</v>
      </c>
      <c r="AN8" s="35">
        <v>1000000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0.68500000000000005</v>
      </c>
      <c r="AY8" s="35">
        <v>0</v>
      </c>
      <c r="AZ8" s="35">
        <v>0.15</v>
      </c>
      <c r="BA8" s="35">
        <v>0</v>
      </c>
      <c r="BB8" s="35">
        <v>0</v>
      </c>
      <c r="BC8" s="35">
        <v>50.05</v>
      </c>
    </row>
    <row r="9" spans="1:55" outlineLevel="1" x14ac:dyDescent="0.25">
      <c r="A9" s="56" t="s">
        <v>187</v>
      </c>
      <c r="B9" s="35">
        <v>0</v>
      </c>
      <c r="C9" s="35">
        <v>0.30409999999999998</v>
      </c>
      <c r="D9" s="35">
        <v>0</v>
      </c>
      <c r="E9" s="35">
        <v>100000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0.94989999999999997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6.8000000000000005E-2</v>
      </c>
      <c r="BA9" s="35">
        <v>0</v>
      </c>
      <c r="BB9" s="35">
        <v>0</v>
      </c>
      <c r="BC9" s="35">
        <v>50.05</v>
      </c>
    </row>
    <row r="10" spans="1:55" outlineLevel="1" x14ac:dyDescent="0.25">
      <c r="A10" s="56" t="s">
        <v>182</v>
      </c>
      <c r="B10" s="35">
        <v>0</v>
      </c>
      <c r="C10" s="35">
        <v>0.32727200000000001</v>
      </c>
      <c r="D10" s="35">
        <v>0</v>
      </c>
      <c r="E10" s="35">
        <v>100000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0.89659999999999995</v>
      </c>
      <c r="S10" s="35">
        <v>0</v>
      </c>
      <c r="T10" s="35">
        <v>0.20172699999999999</v>
      </c>
      <c r="U10" s="35">
        <v>0</v>
      </c>
      <c r="V10" s="35">
        <v>100000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5.2271999999999999E-2</v>
      </c>
      <c r="AJ10" s="35">
        <v>2500</v>
      </c>
      <c r="AK10" s="35">
        <v>0</v>
      </c>
      <c r="AL10" s="35">
        <v>3.2363000000000003E-2</v>
      </c>
      <c r="AM10" s="35">
        <v>2000</v>
      </c>
      <c r="AN10" s="35">
        <v>0</v>
      </c>
      <c r="AO10" s="35">
        <v>2.0181000000000001E-2</v>
      </c>
      <c r="AP10" s="35">
        <v>100000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0.62009000000000003</v>
      </c>
      <c r="AY10" s="35">
        <v>0</v>
      </c>
      <c r="AZ10" s="35">
        <v>0.15</v>
      </c>
      <c r="BA10" s="35">
        <v>0</v>
      </c>
      <c r="BB10" s="35">
        <v>6.0000000000000001E-3</v>
      </c>
      <c r="BC10" s="35">
        <v>0</v>
      </c>
    </row>
    <row r="11" spans="1:55" x14ac:dyDescent="0.25">
      <c r="A11" s="56" t="s">
        <v>172</v>
      </c>
    </row>
    <row r="12" spans="1:55" hidden="1" outlineLevel="1" x14ac:dyDescent="0.25">
      <c r="A12" s="56" t="s">
        <v>173</v>
      </c>
      <c r="B12" s="35">
        <v>0</v>
      </c>
      <c r="C12" s="35">
        <v>0.378</v>
      </c>
      <c r="D12" s="35">
        <v>0</v>
      </c>
      <c r="E12" s="35">
        <v>100000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0.83</v>
      </c>
      <c r="S12" s="35">
        <v>0.11</v>
      </c>
      <c r="T12" s="35">
        <v>0.219</v>
      </c>
      <c r="U12" s="35">
        <v>0</v>
      </c>
      <c r="V12" s="35">
        <v>100000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3.6499999999999998E-2</v>
      </c>
      <c r="AJ12" s="35">
        <v>0</v>
      </c>
      <c r="AK12" s="35">
        <v>109.589</v>
      </c>
      <c r="AL12" s="35">
        <v>3.3000000000000002E-2</v>
      </c>
      <c r="AM12" s="35">
        <v>0</v>
      </c>
      <c r="AN12" s="35">
        <v>100000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0.69</v>
      </c>
      <c r="AY12" s="35">
        <v>7.0000000000000007E-2</v>
      </c>
      <c r="AZ12" s="35">
        <v>0</v>
      </c>
      <c r="BA12" s="35">
        <v>0</v>
      </c>
      <c r="BB12" s="35">
        <v>4.4999999999999997E-3</v>
      </c>
      <c r="BC12" s="35">
        <v>11.66</v>
      </c>
    </row>
    <row r="13" spans="1:55" hidden="1" outlineLevel="1" x14ac:dyDescent="0.25">
      <c r="A13" s="56" t="s">
        <v>174</v>
      </c>
      <c r="B13" s="35">
        <v>0</v>
      </c>
      <c r="C13" s="35">
        <v>0.314</v>
      </c>
      <c r="D13" s="35">
        <v>0</v>
      </c>
      <c r="E13" s="35">
        <v>100000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0.83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3.2500000000000001E-2</v>
      </c>
      <c r="AJ13" s="35">
        <v>0</v>
      </c>
      <c r="AK13" s="35">
        <v>109.589</v>
      </c>
      <c r="AL13" s="35">
        <v>2.9399999999999999E-2</v>
      </c>
      <c r="AM13" s="35">
        <v>0</v>
      </c>
      <c r="AN13" s="35">
        <v>100000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0.69</v>
      </c>
      <c r="AY13" s="35">
        <v>0</v>
      </c>
      <c r="AZ13" s="35">
        <v>0</v>
      </c>
      <c r="BA13" s="35">
        <v>0</v>
      </c>
      <c r="BB13" s="35">
        <v>4.4999999999999997E-3</v>
      </c>
      <c r="BC13" s="35">
        <v>11.66</v>
      </c>
    </row>
    <row r="14" spans="1:55" hidden="1" outlineLevel="1" x14ac:dyDescent="0.25">
      <c r="A14" s="56" t="s">
        <v>175</v>
      </c>
      <c r="B14" s="35">
        <v>0</v>
      </c>
      <c r="C14" s="35">
        <v>0.39</v>
      </c>
      <c r="D14" s="35">
        <v>0</v>
      </c>
      <c r="E14" s="35">
        <v>3.2877000000000001</v>
      </c>
      <c r="F14" s="35">
        <v>0.4345</v>
      </c>
      <c r="G14" s="35">
        <v>0</v>
      </c>
      <c r="H14" s="35">
        <v>100000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0.83</v>
      </c>
      <c r="S14" s="35">
        <v>0.25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3.8100000000000002E-2</v>
      </c>
      <c r="AJ14" s="35">
        <v>4500</v>
      </c>
      <c r="AK14" s="35">
        <v>0</v>
      </c>
      <c r="AL14" s="35">
        <v>2.93E-2</v>
      </c>
      <c r="AM14" s="35">
        <v>100000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0.69599999999999995</v>
      </c>
      <c r="AY14" s="35">
        <v>0.12</v>
      </c>
      <c r="AZ14" s="35">
        <v>0</v>
      </c>
      <c r="BA14" s="35">
        <v>0</v>
      </c>
      <c r="BB14" s="35">
        <v>0</v>
      </c>
      <c r="BC14" s="35">
        <v>0</v>
      </c>
    </row>
    <row r="15" spans="1:55" hidden="1" outlineLevel="1" x14ac:dyDescent="0.25">
      <c r="A15" s="56" t="s">
        <v>176</v>
      </c>
      <c r="B15" s="35">
        <v>0</v>
      </c>
      <c r="C15" s="35">
        <v>0.37990000000000002</v>
      </c>
      <c r="D15" s="35">
        <v>0</v>
      </c>
      <c r="E15" s="35">
        <v>10.957800000000001</v>
      </c>
      <c r="F15" s="35">
        <v>0.42609999999999998</v>
      </c>
      <c r="G15" s="35">
        <v>0</v>
      </c>
      <c r="H15" s="35">
        <v>100000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0.81679999999999997</v>
      </c>
      <c r="S15" s="35">
        <v>0.18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4.87E-2</v>
      </c>
      <c r="AJ15" s="35">
        <v>2500</v>
      </c>
      <c r="AK15" s="35">
        <v>0</v>
      </c>
      <c r="AL15" s="35">
        <v>3.0200000000000001E-2</v>
      </c>
      <c r="AM15" s="35">
        <v>2000</v>
      </c>
      <c r="AN15" s="35">
        <v>0</v>
      </c>
      <c r="AO15" s="35">
        <v>1.8800000000000001E-2</v>
      </c>
      <c r="AP15" s="35">
        <v>100000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0.62639999999999996</v>
      </c>
      <c r="AY15" s="35">
        <v>0.15</v>
      </c>
      <c r="AZ15" s="35">
        <v>0</v>
      </c>
      <c r="BA15" s="35">
        <v>0</v>
      </c>
      <c r="BB15" s="35">
        <v>6.0000000000000001E-3</v>
      </c>
      <c r="BC15" s="35">
        <v>0</v>
      </c>
    </row>
    <row r="16" spans="1:55" hidden="1" outlineLevel="1" x14ac:dyDescent="0.25">
      <c r="A16" s="56" t="s">
        <v>177</v>
      </c>
      <c r="B16" s="35">
        <v>0</v>
      </c>
      <c r="C16" s="35">
        <v>0.37990000000000002</v>
      </c>
      <c r="D16" s="35">
        <v>0</v>
      </c>
      <c r="E16" s="35">
        <v>10.957800000000001</v>
      </c>
      <c r="F16" s="35">
        <v>0.42609999999999998</v>
      </c>
      <c r="G16" s="35">
        <v>0</v>
      </c>
      <c r="H16" s="35">
        <v>100000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0.81679999999999997</v>
      </c>
      <c r="S16" s="35">
        <v>0.2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4.87E-2</v>
      </c>
      <c r="AJ16" s="35">
        <v>2500</v>
      </c>
      <c r="AK16" s="35">
        <v>0</v>
      </c>
      <c r="AL16" s="35">
        <v>3.0200000000000001E-2</v>
      </c>
      <c r="AM16" s="35">
        <v>2000</v>
      </c>
      <c r="AN16" s="35">
        <v>0</v>
      </c>
      <c r="AO16" s="35">
        <v>1.8800000000000001E-2</v>
      </c>
      <c r="AP16" s="35">
        <v>100000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0.62639999999999996</v>
      </c>
      <c r="AY16" s="35">
        <v>0.16</v>
      </c>
      <c r="AZ16" s="35">
        <v>0</v>
      </c>
      <c r="BA16" s="35">
        <v>0</v>
      </c>
      <c r="BB16" s="35">
        <v>6.0000000000000001E-3</v>
      </c>
      <c r="BC16" s="35">
        <v>0</v>
      </c>
    </row>
    <row r="17" spans="1:55" hidden="1" outlineLevel="1" x14ac:dyDescent="0.25">
      <c r="A17" s="56" t="s">
        <v>178</v>
      </c>
      <c r="B17" s="35">
        <v>0</v>
      </c>
      <c r="C17" s="35">
        <v>0.36380000000000001</v>
      </c>
      <c r="D17" s="35">
        <v>0</v>
      </c>
      <c r="E17" s="35">
        <v>10.9589</v>
      </c>
      <c r="F17" s="35">
        <v>0.38840000000000002</v>
      </c>
      <c r="G17" s="35">
        <v>0</v>
      </c>
      <c r="H17" s="35">
        <v>100000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0.82120000000000004</v>
      </c>
      <c r="S17" s="35">
        <v>0.12</v>
      </c>
      <c r="T17" s="35">
        <v>0.19059999999999999</v>
      </c>
      <c r="U17" s="35">
        <v>0</v>
      </c>
      <c r="V17" s="35">
        <v>100000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3.9E-2</v>
      </c>
      <c r="AJ17" s="35">
        <v>0</v>
      </c>
      <c r="AK17" s="35">
        <v>49.315100000000001</v>
      </c>
      <c r="AL17" s="35">
        <v>1.9E-2</v>
      </c>
      <c r="AM17" s="35">
        <v>0</v>
      </c>
      <c r="AN17" s="35">
        <v>100000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0.71</v>
      </c>
      <c r="AY17" s="35">
        <v>0.13</v>
      </c>
      <c r="AZ17" s="35">
        <v>0</v>
      </c>
      <c r="BA17" s="35">
        <v>0</v>
      </c>
      <c r="BB17" s="35">
        <v>5.4999999999999997E-3</v>
      </c>
      <c r="BC17" s="35">
        <v>0</v>
      </c>
    </row>
    <row r="18" spans="1:55" hidden="1" outlineLevel="1" x14ac:dyDescent="0.25">
      <c r="A18" s="56" t="s">
        <v>179</v>
      </c>
      <c r="B18" s="35">
        <v>0</v>
      </c>
      <c r="C18" s="35">
        <v>0.30409999999999998</v>
      </c>
      <c r="D18" s="35">
        <v>0</v>
      </c>
      <c r="E18" s="35">
        <v>100000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0.94989999999999997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</row>
    <row r="19" spans="1:55" hidden="1" outlineLevel="1" x14ac:dyDescent="0.25">
      <c r="A19" s="56" t="s">
        <v>180</v>
      </c>
      <c r="B19" s="35">
        <v>0</v>
      </c>
      <c r="C19" s="35">
        <v>0.39</v>
      </c>
      <c r="D19" s="35">
        <v>0</v>
      </c>
      <c r="E19" s="35">
        <v>10.96</v>
      </c>
      <c r="F19" s="35">
        <v>0.39500000000000002</v>
      </c>
      <c r="G19" s="35">
        <v>0</v>
      </c>
      <c r="H19" s="35">
        <v>100000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0.88</v>
      </c>
      <c r="S19" s="35">
        <v>0.17</v>
      </c>
      <c r="T19" s="35">
        <v>0.2</v>
      </c>
      <c r="U19" s="35">
        <v>0</v>
      </c>
      <c r="V19" s="35">
        <v>100000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3.8800000000000001E-2</v>
      </c>
      <c r="AJ19" s="35">
        <v>0</v>
      </c>
      <c r="AK19" s="35">
        <v>49.3</v>
      </c>
      <c r="AL19" s="35">
        <v>1.8700000000000001E-2</v>
      </c>
      <c r="AM19" s="35">
        <v>0</v>
      </c>
      <c r="AN19" s="35">
        <v>100000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0.72</v>
      </c>
      <c r="AY19" s="35">
        <v>0.17</v>
      </c>
      <c r="AZ19" s="35">
        <v>0</v>
      </c>
      <c r="BA19" s="35">
        <v>0</v>
      </c>
      <c r="BB19" s="35">
        <v>0</v>
      </c>
      <c r="BC19" s="35">
        <v>0</v>
      </c>
    </row>
    <row r="20" spans="1:55" collapsed="1" x14ac:dyDescent="0.25">
      <c r="A20" s="56" t="s">
        <v>171</v>
      </c>
    </row>
    <row r="21" spans="1:55" hidden="1" outlineLevel="1" x14ac:dyDescent="0.25">
      <c r="A21" s="58" t="s">
        <v>166</v>
      </c>
      <c r="B21" s="35">
        <v>0</v>
      </c>
      <c r="C21" s="35">
        <v>0.36749999999999999</v>
      </c>
      <c r="D21" s="35">
        <v>0</v>
      </c>
      <c r="E21" s="35">
        <v>10.9589</v>
      </c>
      <c r="F21" s="35">
        <v>0.39229999999999998</v>
      </c>
      <c r="G21" s="35">
        <v>0</v>
      </c>
      <c r="H21" s="35">
        <v>100000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0.82950000000000002</v>
      </c>
      <c r="S21" s="35">
        <v>0.16</v>
      </c>
      <c r="T21" s="35">
        <v>0.1925</v>
      </c>
      <c r="U21" s="35">
        <v>0</v>
      </c>
      <c r="V21" s="35">
        <v>100000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3.9E-2</v>
      </c>
      <c r="AJ21" s="35">
        <v>0</v>
      </c>
      <c r="AK21" s="35">
        <v>40.315100000000001</v>
      </c>
      <c r="AL21" s="35">
        <v>1.9E-2</v>
      </c>
      <c r="AM21" s="35">
        <v>0</v>
      </c>
      <c r="AN21" s="35">
        <v>100000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0.71</v>
      </c>
      <c r="AY21" s="35">
        <v>0.11</v>
      </c>
      <c r="AZ21" s="35">
        <v>0</v>
      </c>
      <c r="BA21" s="35">
        <v>0</v>
      </c>
      <c r="BB21" s="35">
        <v>3.7000000000000002E-3</v>
      </c>
      <c r="BC21" s="35">
        <v>0</v>
      </c>
    </row>
    <row r="22" spans="1:55" hidden="1" outlineLevel="1" x14ac:dyDescent="0.25">
      <c r="A22" s="56" t="s">
        <v>165</v>
      </c>
      <c r="B22" s="35">
        <v>0</v>
      </c>
      <c r="C22" s="35">
        <v>0.39029999999999998</v>
      </c>
      <c r="D22" s="35">
        <v>0</v>
      </c>
      <c r="E22" s="35">
        <v>3.2877000000000001</v>
      </c>
      <c r="F22" s="35">
        <v>0.40620000000000001</v>
      </c>
      <c r="G22" s="35">
        <v>0</v>
      </c>
      <c r="H22" s="59">
        <v>7.6711999999999998</v>
      </c>
      <c r="I22" s="35">
        <v>0.44679999999999997</v>
      </c>
      <c r="J22" s="35">
        <v>0</v>
      </c>
      <c r="K22" s="59">
        <v>16.438400000000001</v>
      </c>
      <c r="L22" s="35">
        <v>0.4844</v>
      </c>
      <c r="M22" s="35">
        <v>0</v>
      </c>
      <c r="N22" s="59">
        <v>27.397300000000001</v>
      </c>
      <c r="O22" s="35">
        <v>0.4844</v>
      </c>
      <c r="P22" s="35">
        <v>0</v>
      </c>
      <c r="Q22" s="59">
        <v>100000</v>
      </c>
      <c r="R22" s="35">
        <v>0.9718</v>
      </c>
      <c r="S22" s="35">
        <v>0.25</v>
      </c>
      <c r="T22" s="35">
        <v>0.2203</v>
      </c>
      <c r="U22" s="35">
        <v>0</v>
      </c>
      <c r="V22" s="35">
        <v>21.9178</v>
      </c>
      <c r="W22" s="35">
        <v>0.22459999999999999</v>
      </c>
      <c r="X22" s="35">
        <v>0</v>
      </c>
      <c r="Y22" s="59">
        <v>100000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4.3229999999999998E-2</v>
      </c>
      <c r="AJ22" s="35">
        <v>4500</v>
      </c>
      <c r="AK22" s="35">
        <v>0</v>
      </c>
      <c r="AL22" s="35">
        <v>2.0400000000000001E-2</v>
      </c>
      <c r="AM22" s="35">
        <v>100000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0.69599999999999995</v>
      </c>
      <c r="AY22" s="35">
        <v>0.12</v>
      </c>
      <c r="AZ22" s="35">
        <v>0</v>
      </c>
      <c r="BA22" s="35">
        <v>0</v>
      </c>
      <c r="BB22" s="35">
        <v>0</v>
      </c>
      <c r="BC22" s="35">
        <v>0</v>
      </c>
    </row>
    <row r="23" spans="1:55" hidden="1" outlineLevel="1" x14ac:dyDescent="0.25">
      <c r="A23" s="56" t="s">
        <v>167</v>
      </c>
      <c r="B23" s="35">
        <v>0</v>
      </c>
      <c r="C23" s="35">
        <v>0.377</v>
      </c>
      <c r="D23" s="35">
        <v>0</v>
      </c>
      <c r="E23" s="35">
        <v>10.96</v>
      </c>
      <c r="F23" s="35">
        <v>0.42099999999999999</v>
      </c>
      <c r="G23" s="35">
        <v>0</v>
      </c>
      <c r="H23" s="35">
        <v>100000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0.85850000000000004</v>
      </c>
      <c r="S23" s="35">
        <v>0.15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1</v>
      </c>
      <c r="BB23" s="35">
        <v>0</v>
      </c>
      <c r="BC23" s="35">
        <v>0</v>
      </c>
    </row>
    <row r="24" spans="1:55" hidden="1" outlineLevel="1" x14ac:dyDescent="0.25">
      <c r="A24" s="56" t="s">
        <v>168</v>
      </c>
      <c r="B24" s="35">
        <v>2</v>
      </c>
      <c r="C24" s="35">
        <v>0.38190000000000002</v>
      </c>
      <c r="D24" s="35">
        <v>0</v>
      </c>
      <c r="E24" s="35">
        <v>10.957800000000001</v>
      </c>
      <c r="F24" s="35">
        <v>0.42830000000000001</v>
      </c>
      <c r="G24" s="35">
        <v>0</v>
      </c>
      <c r="H24" s="35">
        <v>100000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0.81679999999999997</v>
      </c>
      <c r="S24" s="35">
        <v>0.15</v>
      </c>
      <c r="T24" s="35">
        <v>0.27689999999999998</v>
      </c>
      <c r="U24" s="35">
        <v>0</v>
      </c>
      <c r="V24" s="35">
        <v>100000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4.58E-2</v>
      </c>
      <c r="AJ24" s="35">
        <v>2500</v>
      </c>
      <c r="AK24" s="35">
        <v>0</v>
      </c>
      <c r="AL24" s="35">
        <v>2.8400000000000002E-2</v>
      </c>
      <c r="AM24" s="35">
        <v>2000</v>
      </c>
      <c r="AN24" s="35">
        <v>0</v>
      </c>
      <c r="AO24" s="35">
        <v>1.77E-2</v>
      </c>
      <c r="AP24" s="35">
        <v>100000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0.62639999999999996</v>
      </c>
      <c r="AY24" s="35">
        <v>0.15</v>
      </c>
      <c r="AZ24" s="35">
        <v>0</v>
      </c>
      <c r="BA24" s="35">
        <v>0</v>
      </c>
      <c r="BB24" s="35">
        <v>6.0000000000000001E-3</v>
      </c>
      <c r="BC24" s="35">
        <v>0</v>
      </c>
    </row>
    <row r="25" spans="1:55" hidden="1" outlineLevel="1" x14ac:dyDescent="0.25">
      <c r="A25" s="56" t="s">
        <v>169</v>
      </c>
      <c r="B25" s="35">
        <v>0</v>
      </c>
      <c r="C25" s="35">
        <v>0.33499499999999999</v>
      </c>
      <c r="D25" s="35">
        <v>0</v>
      </c>
      <c r="E25" s="35">
        <v>3.2877000000000001</v>
      </c>
      <c r="F25" s="35">
        <v>0.34132000000000001</v>
      </c>
      <c r="G25" s="35">
        <v>0</v>
      </c>
      <c r="H25" s="35">
        <v>7.6711999999999998</v>
      </c>
      <c r="I25" s="35">
        <v>0.39065499999999997</v>
      </c>
      <c r="J25" s="35">
        <v>0</v>
      </c>
      <c r="K25" s="35">
        <v>16.438400000000001</v>
      </c>
      <c r="L25" s="35">
        <v>0.42377500000000001</v>
      </c>
      <c r="M25" s="35">
        <v>0</v>
      </c>
      <c r="N25" s="35">
        <v>100000</v>
      </c>
      <c r="O25" s="35">
        <v>0</v>
      </c>
      <c r="P25" s="35">
        <v>0</v>
      </c>
      <c r="Q25" s="35">
        <v>0</v>
      </c>
      <c r="R25" s="35">
        <v>0.75485999999999998</v>
      </c>
      <c r="S25" s="35">
        <v>0</v>
      </c>
      <c r="T25" s="35">
        <v>0.16203500000000001</v>
      </c>
      <c r="U25" s="35">
        <v>0</v>
      </c>
      <c r="V25" s="35">
        <v>21.9178</v>
      </c>
      <c r="W25" s="35">
        <v>0.17491499999999999</v>
      </c>
      <c r="X25" s="35">
        <v>0</v>
      </c>
      <c r="Y25" s="35">
        <v>100000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0.02</v>
      </c>
      <c r="BC25" s="35">
        <v>0</v>
      </c>
    </row>
    <row r="26" spans="1:55" hidden="1" outlineLevel="1" x14ac:dyDescent="0.25">
      <c r="A26" s="56" t="s">
        <v>170</v>
      </c>
      <c r="B26" s="35">
        <v>0</v>
      </c>
      <c r="C26" s="35">
        <v>0.32790000000000002</v>
      </c>
      <c r="D26" s="35">
        <v>0</v>
      </c>
      <c r="E26" s="35">
        <v>10.95</v>
      </c>
      <c r="F26" s="35">
        <v>0.37890000000000001</v>
      </c>
      <c r="G26" s="35">
        <v>0</v>
      </c>
      <c r="H26" s="35">
        <v>100000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0.75439999999999996</v>
      </c>
      <c r="S26" s="35">
        <v>0</v>
      </c>
      <c r="T26" s="35">
        <v>0.1741</v>
      </c>
      <c r="U26" s="35">
        <v>0</v>
      </c>
      <c r="V26" s="35">
        <v>100000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</row>
    <row r="27" spans="1:55" s="59" customFormat="1" hidden="1" outlineLevel="1" x14ac:dyDescent="0.25">
      <c r="A27" s="58" t="s">
        <v>164</v>
      </c>
      <c r="B27" s="59">
        <v>1</v>
      </c>
      <c r="C27" s="59">
        <v>0.38</v>
      </c>
      <c r="D27" s="59">
        <v>0</v>
      </c>
      <c r="E27" s="59">
        <v>100000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0.83</v>
      </c>
      <c r="S27" s="59">
        <v>0.14000000000000001</v>
      </c>
      <c r="T27" s="59">
        <v>0.22</v>
      </c>
      <c r="U27" s="59">
        <v>0</v>
      </c>
      <c r="V27" s="59">
        <v>100000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3.5000000000000003E-2</v>
      </c>
      <c r="AJ27" s="59">
        <v>0</v>
      </c>
      <c r="AK27" s="59">
        <v>100000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0.69</v>
      </c>
      <c r="AY27" s="59">
        <v>0.11</v>
      </c>
      <c r="AZ27" s="59">
        <v>0</v>
      </c>
      <c r="BA27" s="59">
        <v>0</v>
      </c>
      <c r="BB27" s="59">
        <v>5.4999999999999997E-3</v>
      </c>
      <c r="BC27" s="59">
        <v>38.5</v>
      </c>
    </row>
    <row r="28" spans="1:55" s="59" customFormat="1" collapsed="1" x14ac:dyDescent="0.25">
      <c r="A28" s="56" t="s">
        <v>163</v>
      </c>
    </row>
    <row r="29" spans="1:55" s="59" customFormat="1" hidden="1" outlineLevel="1" x14ac:dyDescent="0.25">
      <c r="A29" s="58" t="s">
        <v>159</v>
      </c>
      <c r="B29" s="59">
        <v>0</v>
      </c>
      <c r="C29" s="59">
        <v>0.3327</v>
      </c>
      <c r="D29" s="59">
        <v>4000</v>
      </c>
      <c r="E29" s="59">
        <v>0</v>
      </c>
      <c r="F29" s="59">
        <v>0.3795</v>
      </c>
      <c r="G29" s="59">
        <v>100000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0.70899999999999996</v>
      </c>
      <c r="S29" s="59">
        <v>0.17</v>
      </c>
      <c r="T29" s="59">
        <v>0.1535</v>
      </c>
      <c r="U29" s="59">
        <v>0</v>
      </c>
      <c r="V29" s="59">
        <v>100000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3.8510000000000003E-2</v>
      </c>
      <c r="AJ29" s="59">
        <v>2500</v>
      </c>
      <c r="AK29" s="59">
        <v>0</v>
      </c>
      <c r="AL29" s="59">
        <v>2.9950000000000001E-2</v>
      </c>
      <c r="AM29" s="59">
        <v>2000</v>
      </c>
      <c r="AN29" s="59">
        <v>0</v>
      </c>
      <c r="AO29" s="59">
        <v>1.558E-2</v>
      </c>
      <c r="AP29" s="59">
        <v>100000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0.65720000000000001</v>
      </c>
      <c r="AY29" s="59">
        <v>0.12</v>
      </c>
      <c r="AZ29" s="59">
        <v>6.8000000000000005E-2</v>
      </c>
      <c r="BA29" s="59">
        <v>0</v>
      </c>
      <c r="BB29" s="59">
        <v>5.4999999999999997E-3</v>
      </c>
      <c r="BC29" s="59">
        <v>42</v>
      </c>
    </row>
    <row r="30" spans="1:55" s="59" customFormat="1" hidden="1" outlineLevel="1" x14ac:dyDescent="0.25">
      <c r="A30" s="58" t="s">
        <v>158</v>
      </c>
      <c r="B30" s="59">
        <v>0</v>
      </c>
      <c r="C30" s="59">
        <v>0.3075</v>
      </c>
      <c r="D30" s="59">
        <v>4000</v>
      </c>
      <c r="E30" s="59">
        <v>0</v>
      </c>
      <c r="F30" s="59">
        <v>0.34489999999999998</v>
      </c>
      <c r="G30" s="59">
        <v>100000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0.70899999999999996</v>
      </c>
      <c r="S30" s="59">
        <v>0.17</v>
      </c>
      <c r="T30" s="59">
        <v>0.1535</v>
      </c>
      <c r="U30" s="59">
        <v>0</v>
      </c>
      <c r="V30" s="59">
        <v>100000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3.8510000000000003E-2</v>
      </c>
      <c r="AJ30" s="59">
        <v>2500</v>
      </c>
      <c r="AK30" s="59">
        <v>0</v>
      </c>
      <c r="AL30" s="59">
        <v>2.9950000000000001E-2</v>
      </c>
      <c r="AM30" s="59">
        <v>2000</v>
      </c>
      <c r="AN30" s="59">
        <v>0</v>
      </c>
      <c r="AO30" s="59">
        <v>1.558E-2</v>
      </c>
      <c r="AP30" s="59">
        <v>100000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0.65720000000000001</v>
      </c>
      <c r="AY30" s="59">
        <v>0.12</v>
      </c>
      <c r="AZ30" s="59">
        <v>6.8000000000000005E-2</v>
      </c>
      <c r="BA30" s="59">
        <v>0</v>
      </c>
      <c r="BB30" s="59">
        <v>5.4999999999999997E-3</v>
      </c>
      <c r="BC30" s="59">
        <v>42</v>
      </c>
    </row>
    <row r="31" spans="1:55" s="59" customFormat="1" hidden="1" outlineLevel="1" x14ac:dyDescent="0.25">
      <c r="A31" s="58" t="s">
        <v>149</v>
      </c>
      <c r="B31" s="59">
        <v>0</v>
      </c>
      <c r="C31" s="59">
        <v>0.31759999999999999</v>
      </c>
      <c r="D31" s="59">
        <v>0</v>
      </c>
      <c r="E31" s="59">
        <v>3.2877000000000001</v>
      </c>
      <c r="F31" s="59">
        <v>0.33050000000000002</v>
      </c>
      <c r="G31" s="59">
        <v>0</v>
      </c>
      <c r="H31" s="59">
        <v>7.6711999999999998</v>
      </c>
      <c r="I31" s="59">
        <v>0.36359999999999998</v>
      </c>
      <c r="J31" s="59">
        <v>0</v>
      </c>
      <c r="K31" s="59">
        <v>16.438400000000001</v>
      </c>
      <c r="L31" s="59">
        <v>0.39419999999999999</v>
      </c>
      <c r="M31" s="59">
        <v>0</v>
      </c>
      <c r="N31" s="59">
        <v>100000</v>
      </c>
      <c r="O31" s="59">
        <v>0</v>
      </c>
      <c r="P31" s="59">
        <v>0</v>
      </c>
      <c r="Q31" s="59">
        <v>0</v>
      </c>
      <c r="R31" s="59">
        <v>0.79079999999999995</v>
      </c>
      <c r="S31" s="59">
        <v>0.2</v>
      </c>
      <c r="T31" s="59">
        <v>0.17929999999999999</v>
      </c>
      <c r="U31" s="59">
        <v>0</v>
      </c>
      <c r="V31" s="59">
        <v>3.2877000000000001</v>
      </c>
      <c r="W31" s="59">
        <v>0.18279999999999999</v>
      </c>
      <c r="X31" s="59">
        <v>0</v>
      </c>
      <c r="Y31" s="59">
        <v>100000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3.61E-2</v>
      </c>
      <c r="AJ31" s="59">
        <v>0</v>
      </c>
      <c r="AK31" s="59">
        <v>49.315100000000001</v>
      </c>
      <c r="AL31" s="59">
        <v>1.8700000000000001E-2</v>
      </c>
      <c r="AM31" s="59">
        <v>0</v>
      </c>
      <c r="AN31" s="59">
        <v>100000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0.63849999999999996</v>
      </c>
      <c r="AY31" s="59">
        <v>0.1</v>
      </c>
      <c r="AZ31" s="59">
        <v>0</v>
      </c>
      <c r="BA31" s="59">
        <v>0</v>
      </c>
      <c r="BB31" s="59">
        <v>0</v>
      </c>
      <c r="BC31" s="59">
        <v>0</v>
      </c>
    </row>
    <row r="32" spans="1:55" s="59" customFormat="1" hidden="1" outlineLevel="1" x14ac:dyDescent="0.25">
      <c r="A32" s="58" t="s">
        <v>157</v>
      </c>
      <c r="B32" s="59">
        <v>1</v>
      </c>
      <c r="C32" s="59">
        <v>0.31319999999999998</v>
      </c>
      <c r="D32" s="59">
        <v>0</v>
      </c>
      <c r="E32" s="59">
        <v>10.9589</v>
      </c>
      <c r="F32" s="59">
        <v>0.35210000000000002</v>
      </c>
      <c r="G32" s="59">
        <v>0</v>
      </c>
      <c r="H32" s="59">
        <v>100000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0.70609999999999995</v>
      </c>
      <c r="S32" s="59">
        <v>0.16</v>
      </c>
      <c r="T32" s="59">
        <v>0.152</v>
      </c>
      <c r="U32" s="59">
        <v>0</v>
      </c>
      <c r="V32" s="59">
        <v>100000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3.6450000000000003E-2</v>
      </c>
      <c r="AJ32" s="59">
        <v>0</v>
      </c>
      <c r="AK32" s="59">
        <v>49.315100000000001</v>
      </c>
      <c r="AL32" s="59">
        <v>1.6330000000000001E-2</v>
      </c>
      <c r="AM32" s="59">
        <v>0</v>
      </c>
      <c r="AN32" s="59">
        <v>100000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0.65</v>
      </c>
      <c r="AY32" s="59">
        <v>0.1</v>
      </c>
      <c r="AZ32" s="59">
        <v>6.8000000000000005E-2</v>
      </c>
      <c r="BA32" s="59">
        <v>0</v>
      </c>
      <c r="BB32" s="59">
        <v>3.7000000000000002E-3</v>
      </c>
      <c r="BC32" s="59">
        <v>38.5</v>
      </c>
    </row>
    <row r="33" spans="1:55" s="59" customFormat="1" hidden="1" outlineLevel="1" x14ac:dyDescent="0.25">
      <c r="A33" s="58" t="s">
        <v>150</v>
      </c>
      <c r="B33" s="59">
        <v>1</v>
      </c>
      <c r="C33" s="59">
        <v>0.31030000000000002</v>
      </c>
      <c r="D33" s="59">
        <v>0</v>
      </c>
      <c r="E33" s="59">
        <v>6.5753399999999997</v>
      </c>
      <c r="F33" s="59">
        <v>0.31669999999999998</v>
      </c>
      <c r="G33" s="59">
        <v>0</v>
      </c>
      <c r="H33" s="59">
        <v>100000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0.82654000000000005</v>
      </c>
      <c r="S33" s="59">
        <v>0</v>
      </c>
      <c r="T33" s="59">
        <v>0.21060000000000001</v>
      </c>
      <c r="U33" s="59">
        <v>0</v>
      </c>
      <c r="V33" s="59">
        <v>100000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6.8000000000000005E-2</v>
      </c>
      <c r="BA33" s="59">
        <v>0</v>
      </c>
      <c r="BB33" s="59">
        <v>0</v>
      </c>
      <c r="BC33" s="59">
        <v>0</v>
      </c>
    </row>
    <row r="34" spans="1:55" s="59" customFormat="1" hidden="1" outlineLevel="1" x14ac:dyDescent="0.25">
      <c r="A34" s="58" t="s">
        <v>154</v>
      </c>
      <c r="B34" s="59">
        <v>2</v>
      </c>
      <c r="C34" s="59">
        <v>0.30969999999999998</v>
      </c>
      <c r="D34" s="59">
        <v>0</v>
      </c>
      <c r="E34" s="59">
        <v>10.96</v>
      </c>
      <c r="F34" s="59">
        <v>0.35060000000000002</v>
      </c>
      <c r="G34" s="59">
        <v>0</v>
      </c>
      <c r="H34" s="59">
        <v>100000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0.79569999999999996</v>
      </c>
      <c r="S34" s="59">
        <v>0.1</v>
      </c>
      <c r="T34" s="59">
        <v>0.154</v>
      </c>
      <c r="U34" s="59">
        <v>0</v>
      </c>
      <c r="V34" s="59">
        <v>100000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1</v>
      </c>
      <c r="BB34" s="59">
        <v>0</v>
      </c>
      <c r="BC34" s="59">
        <v>0</v>
      </c>
    </row>
    <row r="35" spans="1:55" s="59" customFormat="1" hidden="1" outlineLevel="1" x14ac:dyDescent="0.25">
      <c r="A35" s="58" t="s">
        <v>161</v>
      </c>
      <c r="B35" s="59">
        <v>0</v>
      </c>
      <c r="C35" s="59">
        <v>0.31159999999999999</v>
      </c>
      <c r="D35" s="59">
        <v>0</v>
      </c>
      <c r="E35" s="59">
        <v>10.9589</v>
      </c>
      <c r="F35" s="59">
        <v>0.33229999999999998</v>
      </c>
      <c r="G35" s="59">
        <v>0</v>
      </c>
      <c r="H35" s="59">
        <v>100000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0.76329999999999998</v>
      </c>
      <c r="S35" s="59">
        <v>0</v>
      </c>
      <c r="T35" s="59">
        <v>0.16500000000000001</v>
      </c>
      <c r="U35" s="59">
        <v>0</v>
      </c>
      <c r="V35" s="59">
        <v>100000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0.08</v>
      </c>
      <c r="BA35" s="59">
        <v>0</v>
      </c>
      <c r="BB35" s="59">
        <v>0</v>
      </c>
      <c r="BC35" s="59">
        <v>38.5</v>
      </c>
    </row>
    <row r="36" spans="1:55" s="59" customFormat="1" hidden="1" outlineLevel="1" x14ac:dyDescent="0.25">
      <c r="A36" s="58" t="s">
        <v>153</v>
      </c>
      <c r="B36" s="59">
        <v>2</v>
      </c>
      <c r="C36" s="59">
        <v>0.32440000000000002</v>
      </c>
      <c r="D36" s="59">
        <v>0</v>
      </c>
      <c r="E36" s="59">
        <v>10.957800000000001</v>
      </c>
      <c r="F36" s="59">
        <v>0.36380000000000001</v>
      </c>
      <c r="G36" s="59">
        <v>0</v>
      </c>
      <c r="H36" s="59">
        <v>100000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0.63649999999999995</v>
      </c>
      <c r="S36" s="59">
        <v>0.15</v>
      </c>
      <c r="T36" s="59">
        <v>0.2072</v>
      </c>
      <c r="U36" s="59">
        <v>0</v>
      </c>
      <c r="V36" s="59">
        <v>100000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4.07E-2</v>
      </c>
      <c r="AJ36" s="59">
        <v>2500</v>
      </c>
      <c r="AK36" s="59">
        <v>0</v>
      </c>
      <c r="AL36" s="59">
        <v>2.52E-2</v>
      </c>
      <c r="AM36" s="59">
        <v>2000</v>
      </c>
      <c r="AN36" s="59">
        <v>0</v>
      </c>
      <c r="AO36" s="59">
        <v>1.5699999999999999E-2</v>
      </c>
      <c r="AP36" s="59">
        <v>100000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0.62209999999999999</v>
      </c>
      <c r="AY36" s="59">
        <v>0.15</v>
      </c>
      <c r="AZ36" s="59">
        <v>6.8000000000000005E-2</v>
      </c>
      <c r="BA36" s="59">
        <v>0</v>
      </c>
      <c r="BB36" s="59">
        <v>6.0000000000000001E-3</v>
      </c>
      <c r="BC36" s="59">
        <v>0</v>
      </c>
    </row>
    <row r="37" spans="1:55" s="59" customFormat="1" hidden="1" outlineLevel="1" x14ac:dyDescent="0.25">
      <c r="A37" s="58" t="s">
        <v>152</v>
      </c>
      <c r="B37" s="59">
        <v>0</v>
      </c>
      <c r="C37" s="59">
        <v>0.33976400000000001</v>
      </c>
      <c r="D37" s="59">
        <v>0</v>
      </c>
      <c r="E37" s="59">
        <v>10.957800000000001</v>
      </c>
      <c r="F37" s="59">
        <v>0.39173200000000002</v>
      </c>
      <c r="G37" s="59">
        <v>0</v>
      </c>
      <c r="H37" s="59">
        <v>16.438400000000001</v>
      </c>
      <c r="I37" s="59">
        <v>0.38500000000000001</v>
      </c>
      <c r="J37" s="59">
        <v>0</v>
      </c>
      <c r="K37" s="59">
        <v>27.396100000000001</v>
      </c>
      <c r="L37" s="59">
        <v>0.38500000000000001</v>
      </c>
      <c r="M37" s="59">
        <v>0</v>
      </c>
      <c r="N37" s="59">
        <v>100000</v>
      </c>
      <c r="O37" s="59">
        <v>0</v>
      </c>
      <c r="P37" s="59">
        <v>0</v>
      </c>
      <c r="Q37" s="59">
        <v>0</v>
      </c>
      <c r="R37" s="59">
        <v>0.79890000000000005</v>
      </c>
      <c r="S37" s="59">
        <v>0.22</v>
      </c>
      <c r="T37" s="59">
        <v>0.144869</v>
      </c>
      <c r="U37" s="59">
        <v>0</v>
      </c>
      <c r="V37" s="59">
        <v>21.9178</v>
      </c>
      <c r="W37" s="59">
        <v>0.144869</v>
      </c>
      <c r="X37" s="59">
        <v>0</v>
      </c>
      <c r="Y37" s="59">
        <v>100000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3.6119999999999999E-2</v>
      </c>
      <c r="AJ37" s="59">
        <v>0</v>
      </c>
      <c r="AK37" s="59">
        <v>27.4</v>
      </c>
      <c r="AL37" s="59">
        <v>3.5938999999999999E-2</v>
      </c>
      <c r="AM37" s="59">
        <v>0</v>
      </c>
      <c r="AN37" s="59">
        <v>21.9</v>
      </c>
      <c r="AO37" s="59">
        <v>2.2575000000000001E-2</v>
      </c>
      <c r="AP37" s="59">
        <v>0</v>
      </c>
      <c r="AQ37" s="59">
        <v>100000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0.7802</v>
      </c>
      <c r="AY37" s="59">
        <v>0.17</v>
      </c>
      <c r="AZ37" s="59">
        <v>0</v>
      </c>
      <c r="BA37" s="59">
        <v>0</v>
      </c>
      <c r="BB37" s="59">
        <v>3.5999999999999999E-3</v>
      </c>
      <c r="BC37" s="59">
        <v>0</v>
      </c>
    </row>
    <row r="38" spans="1:55" s="59" customFormat="1" hidden="1" outlineLevel="1" x14ac:dyDescent="0.25">
      <c r="A38" s="58" t="s">
        <v>155</v>
      </c>
      <c r="B38" s="59">
        <v>2</v>
      </c>
      <c r="C38" s="59">
        <v>0.30969999999999998</v>
      </c>
      <c r="D38" s="59">
        <v>0</v>
      </c>
      <c r="E38" s="59">
        <v>10.96</v>
      </c>
      <c r="F38" s="59">
        <v>0.36059999999999998</v>
      </c>
      <c r="G38" s="59">
        <v>0</v>
      </c>
      <c r="H38" s="59">
        <v>100000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0.79569999999999996</v>
      </c>
      <c r="S38" s="59">
        <v>0.12</v>
      </c>
      <c r="T38" s="59">
        <v>0.154</v>
      </c>
      <c r="U38" s="59">
        <v>0</v>
      </c>
      <c r="V38" s="59">
        <v>100000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7.0000000000000007E-2</v>
      </c>
      <c r="BA38" s="59">
        <v>1</v>
      </c>
      <c r="BB38" s="59">
        <v>0</v>
      </c>
      <c r="BC38" s="59">
        <v>0</v>
      </c>
    </row>
    <row r="39" spans="1:55" s="59" customFormat="1" hidden="1" outlineLevel="1" x14ac:dyDescent="0.25">
      <c r="A39" s="58" t="s">
        <v>151</v>
      </c>
      <c r="B39" s="59">
        <v>0</v>
      </c>
      <c r="C39" s="59">
        <v>0.26539000000000001</v>
      </c>
      <c r="D39" s="59">
        <v>0</v>
      </c>
      <c r="E39" s="59">
        <v>10.96</v>
      </c>
      <c r="F39" s="59">
        <v>0.30332999999999999</v>
      </c>
      <c r="G39" s="59">
        <v>0</v>
      </c>
      <c r="H39" s="59">
        <v>100000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0.78122000000000003</v>
      </c>
      <c r="S39" s="59">
        <v>0</v>
      </c>
      <c r="T39" s="59">
        <v>0.12482</v>
      </c>
      <c r="U39" s="59">
        <v>0</v>
      </c>
      <c r="V39" s="59">
        <v>21.918900000000001</v>
      </c>
      <c r="W39" s="59">
        <v>0.12193</v>
      </c>
      <c r="X39" s="59">
        <v>0</v>
      </c>
      <c r="Y39" s="59">
        <v>100000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1.7000000000000001E-2</v>
      </c>
      <c r="BC39" s="59">
        <v>0</v>
      </c>
    </row>
    <row r="40" spans="1:55" s="59" customFormat="1" hidden="1" outlineLevel="1" x14ac:dyDescent="0.25">
      <c r="A40" s="58" t="s">
        <v>162</v>
      </c>
      <c r="B40" s="59">
        <v>0</v>
      </c>
      <c r="C40" s="59">
        <v>0.313</v>
      </c>
      <c r="D40" s="59">
        <v>0</v>
      </c>
      <c r="E40" s="59">
        <v>10.96</v>
      </c>
      <c r="F40" s="59">
        <v>0.35299999999999998</v>
      </c>
      <c r="G40" s="59">
        <v>0</v>
      </c>
      <c r="H40" s="59">
        <v>100000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0.70609999999999995</v>
      </c>
      <c r="S40" s="59">
        <v>0</v>
      </c>
      <c r="T40" s="59">
        <v>0.152</v>
      </c>
      <c r="U40" s="59">
        <v>0</v>
      </c>
      <c r="V40" s="59">
        <v>100000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1.21E-2</v>
      </c>
      <c r="BC40" s="59">
        <v>0</v>
      </c>
    </row>
    <row r="41" spans="1:55" s="59" customFormat="1" hidden="1" outlineLevel="1" x14ac:dyDescent="0.25">
      <c r="A41" s="58" t="s">
        <v>156</v>
      </c>
      <c r="B41" s="59">
        <v>0</v>
      </c>
      <c r="C41" s="59">
        <v>0.29809999999999998</v>
      </c>
      <c r="D41" s="59">
        <v>100</v>
      </c>
      <c r="E41" s="59">
        <v>0</v>
      </c>
      <c r="F41" s="59">
        <v>0.31979999999999997</v>
      </c>
      <c r="G41" s="59">
        <v>233</v>
      </c>
      <c r="H41" s="59">
        <v>0</v>
      </c>
      <c r="I41" s="59">
        <v>0.3498</v>
      </c>
      <c r="J41" s="59">
        <v>500</v>
      </c>
      <c r="K41" s="59">
        <v>0</v>
      </c>
      <c r="L41" s="59">
        <v>0.36980000000000002</v>
      </c>
      <c r="M41" s="59">
        <v>100000</v>
      </c>
      <c r="N41" s="59">
        <v>0</v>
      </c>
      <c r="O41" s="59">
        <v>0</v>
      </c>
      <c r="P41" s="59">
        <v>0</v>
      </c>
      <c r="Q41" s="59">
        <v>0</v>
      </c>
      <c r="R41" s="59">
        <v>0.78449999999999998</v>
      </c>
      <c r="S41" s="59">
        <v>7.0000000000000007E-2</v>
      </c>
      <c r="T41" s="59">
        <v>0.15989999999999999</v>
      </c>
      <c r="U41" s="59">
        <v>0</v>
      </c>
      <c r="V41" s="59">
        <v>100000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0.08</v>
      </c>
      <c r="BA41" s="59">
        <v>1</v>
      </c>
      <c r="BB41" s="59">
        <v>6.0000000000000001E-3</v>
      </c>
      <c r="BC41" s="59">
        <v>22</v>
      </c>
    </row>
    <row r="42" spans="1:55" s="59" customFormat="1" collapsed="1" x14ac:dyDescent="0.25">
      <c r="A42" s="58" t="s">
        <v>160</v>
      </c>
      <c r="V42" s="60"/>
    </row>
    <row r="43" spans="1:55" s="59" customFormat="1" hidden="1" outlineLevel="1" x14ac:dyDescent="0.25">
      <c r="A43" s="58" t="s">
        <v>128</v>
      </c>
      <c r="B43" s="59">
        <v>2</v>
      </c>
      <c r="C43" s="59">
        <v>0.29199999999999998</v>
      </c>
      <c r="D43" s="59">
        <v>4000</v>
      </c>
      <c r="E43" s="59">
        <v>0</v>
      </c>
      <c r="F43" s="59">
        <v>0.34060000000000001</v>
      </c>
      <c r="G43" s="59">
        <v>100000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0.63790000000000002</v>
      </c>
      <c r="S43" s="59">
        <v>0.14000000000000001</v>
      </c>
      <c r="T43" s="59">
        <v>0.1331</v>
      </c>
      <c r="U43" s="59">
        <v>0</v>
      </c>
      <c r="V43" s="60">
        <v>21.9178</v>
      </c>
      <c r="W43" s="59">
        <v>0.1331</v>
      </c>
      <c r="X43" s="59">
        <v>0</v>
      </c>
      <c r="Y43" s="59">
        <v>100000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4.2610000000000002E-2</v>
      </c>
      <c r="AJ43" s="59">
        <v>2500</v>
      </c>
      <c r="AK43" s="59">
        <v>0</v>
      </c>
      <c r="AL43" s="59">
        <v>3.5369999999999999E-2</v>
      </c>
      <c r="AM43" s="59">
        <v>2000</v>
      </c>
      <c r="AN43" s="59">
        <v>0</v>
      </c>
      <c r="AO43" s="59">
        <v>1.745E-2</v>
      </c>
      <c r="AP43" s="59">
        <v>100000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0.72460000000000002</v>
      </c>
      <c r="AY43" s="59">
        <v>0.12</v>
      </c>
      <c r="AZ43" s="59">
        <v>0</v>
      </c>
      <c r="BA43" s="59">
        <v>0</v>
      </c>
      <c r="BB43" s="59">
        <v>6.0000000000000001E-3</v>
      </c>
      <c r="BC43" s="59">
        <v>41.55</v>
      </c>
    </row>
    <row r="44" spans="1:55" s="59" customFormat="1" hidden="1" outlineLevel="1" x14ac:dyDescent="0.25">
      <c r="A44" s="58" t="s">
        <v>129</v>
      </c>
      <c r="B44" s="59">
        <v>2</v>
      </c>
      <c r="C44" s="59">
        <v>0.26840000000000003</v>
      </c>
      <c r="D44" s="59">
        <v>4000</v>
      </c>
      <c r="E44" s="59">
        <v>0</v>
      </c>
      <c r="F44" s="59">
        <v>0.30830000000000002</v>
      </c>
      <c r="G44" s="59">
        <v>100000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0.63790000000000002</v>
      </c>
      <c r="S44" s="59">
        <v>0.14000000000000001</v>
      </c>
      <c r="T44" s="59">
        <v>0.1331</v>
      </c>
      <c r="U44" s="59">
        <v>0</v>
      </c>
      <c r="V44" s="60">
        <v>21.9178</v>
      </c>
      <c r="W44" s="59">
        <v>0.1331</v>
      </c>
      <c r="X44" s="59">
        <v>0</v>
      </c>
      <c r="Y44" s="59">
        <v>100000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4.2610000000000002E-2</v>
      </c>
      <c r="AJ44" s="59">
        <v>2500</v>
      </c>
      <c r="AK44" s="59">
        <v>0</v>
      </c>
      <c r="AL44" s="59">
        <v>3.5369999999999999E-2</v>
      </c>
      <c r="AM44" s="59">
        <v>2000</v>
      </c>
      <c r="AN44" s="59">
        <v>0</v>
      </c>
      <c r="AO44" s="59">
        <v>1.745E-2</v>
      </c>
      <c r="AP44" s="59">
        <v>100000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0.72460000000000002</v>
      </c>
      <c r="AY44" s="59">
        <v>0.12</v>
      </c>
      <c r="AZ44" s="59">
        <v>0</v>
      </c>
      <c r="BA44" s="59">
        <v>0</v>
      </c>
      <c r="BB44" s="59">
        <v>6.0000000000000001E-3</v>
      </c>
      <c r="BC44" s="59">
        <v>41.55</v>
      </c>
    </row>
    <row r="45" spans="1:55" s="59" customFormat="1" hidden="1" outlineLevel="1" x14ac:dyDescent="0.25">
      <c r="A45" s="58" t="s">
        <v>125</v>
      </c>
      <c r="B45" s="59">
        <v>0</v>
      </c>
      <c r="C45" s="59">
        <v>0.27400000000000002</v>
      </c>
      <c r="D45" s="59">
        <v>0</v>
      </c>
      <c r="E45" s="59">
        <v>3.2877000000000001</v>
      </c>
      <c r="F45" s="59">
        <v>0.28520000000000001</v>
      </c>
      <c r="G45" s="59">
        <v>0</v>
      </c>
      <c r="H45" s="59">
        <v>7.6711999999999998</v>
      </c>
      <c r="I45" s="59">
        <v>0.31369999999999998</v>
      </c>
      <c r="J45" s="59">
        <v>0</v>
      </c>
      <c r="K45" s="59">
        <v>16.438400000000001</v>
      </c>
      <c r="L45" s="59">
        <v>0.34010000000000001</v>
      </c>
      <c r="M45" s="59">
        <v>0</v>
      </c>
      <c r="N45" s="59">
        <v>27.397300000000001</v>
      </c>
      <c r="O45" s="59">
        <v>0.34010000000000001</v>
      </c>
      <c r="P45" s="59">
        <v>0</v>
      </c>
      <c r="Q45" s="59">
        <v>100000</v>
      </c>
      <c r="R45" s="59">
        <v>0.68230000000000002</v>
      </c>
      <c r="S45" s="59">
        <v>0.2</v>
      </c>
      <c r="T45" s="59">
        <v>0.14230000000000001</v>
      </c>
      <c r="U45" s="59">
        <v>0</v>
      </c>
      <c r="V45" s="60">
        <v>21.9178</v>
      </c>
      <c r="W45" s="59">
        <v>0.15310000000000001</v>
      </c>
      <c r="X45" s="59">
        <v>0</v>
      </c>
      <c r="Y45" s="59">
        <v>100000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4.0800000000000003E-2</v>
      </c>
      <c r="AJ45" s="59">
        <v>4500</v>
      </c>
      <c r="AK45" s="59">
        <v>0</v>
      </c>
      <c r="AL45" s="59">
        <v>2.12E-2</v>
      </c>
      <c r="AM45" s="59">
        <v>100000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0.72209999999999996</v>
      </c>
      <c r="AY45" s="59">
        <v>0.1</v>
      </c>
      <c r="AZ45" s="59">
        <v>0</v>
      </c>
      <c r="BA45" s="59">
        <v>0</v>
      </c>
      <c r="BB45" s="59">
        <v>0</v>
      </c>
      <c r="BC45" s="59">
        <v>0</v>
      </c>
    </row>
    <row r="46" spans="1:55" s="59" customFormat="1" hidden="1" outlineLevel="1" x14ac:dyDescent="0.25">
      <c r="A46" s="58" t="s">
        <v>130</v>
      </c>
      <c r="B46" s="59">
        <v>2</v>
      </c>
      <c r="C46" s="59">
        <v>0.27400000000000002</v>
      </c>
      <c r="D46" s="59">
        <v>100</v>
      </c>
      <c r="E46" s="59">
        <v>0</v>
      </c>
      <c r="F46" s="59">
        <v>0.307</v>
      </c>
      <c r="G46" s="59">
        <v>233</v>
      </c>
      <c r="H46" s="59">
        <v>0</v>
      </c>
      <c r="I46" s="59">
        <v>0.34949999999999998</v>
      </c>
      <c r="J46" s="59">
        <v>500</v>
      </c>
      <c r="K46" s="59">
        <v>0</v>
      </c>
      <c r="L46" s="59">
        <v>0.34949999999999998</v>
      </c>
      <c r="M46" s="59">
        <v>100000</v>
      </c>
      <c r="N46" s="59">
        <v>0</v>
      </c>
      <c r="O46" s="59">
        <v>0</v>
      </c>
      <c r="P46" s="59">
        <v>0</v>
      </c>
      <c r="Q46" s="59">
        <v>0</v>
      </c>
      <c r="R46" s="59">
        <v>0.67800000000000005</v>
      </c>
      <c r="S46" s="59">
        <v>0.06</v>
      </c>
      <c r="T46" s="59">
        <v>0.1195</v>
      </c>
      <c r="U46" s="60">
        <v>667</v>
      </c>
      <c r="V46" s="59">
        <v>0</v>
      </c>
      <c r="W46" s="59">
        <v>0.124</v>
      </c>
      <c r="X46" s="59">
        <v>100000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1</v>
      </c>
      <c r="BB46" s="59">
        <v>6.0000000000000001E-3</v>
      </c>
      <c r="BC46" s="59">
        <v>22</v>
      </c>
    </row>
    <row r="47" spans="1:55" s="59" customFormat="1" hidden="1" outlineLevel="1" x14ac:dyDescent="0.25">
      <c r="A47" s="58" t="s">
        <v>113</v>
      </c>
      <c r="B47" s="59">
        <v>0</v>
      </c>
      <c r="C47" s="60">
        <v>0.33328099999999999</v>
      </c>
      <c r="D47" s="59">
        <v>0</v>
      </c>
      <c r="E47" s="59">
        <v>10.957800000000001</v>
      </c>
      <c r="F47" s="60">
        <v>0.37328099999999997</v>
      </c>
      <c r="G47" s="59">
        <v>0</v>
      </c>
      <c r="H47" s="59">
        <v>16.437999999999999</v>
      </c>
      <c r="I47" s="59">
        <v>0.404281</v>
      </c>
      <c r="J47" s="59">
        <v>0</v>
      </c>
      <c r="K47" s="59">
        <v>27.396000000000001</v>
      </c>
      <c r="L47" s="59">
        <v>0.404281</v>
      </c>
      <c r="M47" s="59">
        <v>0</v>
      </c>
      <c r="N47" s="59">
        <v>100000</v>
      </c>
      <c r="O47" s="59">
        <v>0</v>
      </c>
      <c r="P47" s="59">
        <v>0</v>
      </c>
      <c r="Q47" s="59">
        <v>0</v>
      </c>
      <c r="R47" s="59">
        <v>0.74</v>
      </c>
      <c r="S47" s="59">
        <v>0.21</v>
      </c>
      <c r="T47" s="59">
        <v>0</v>
      </c>
      <c r="U47" s="60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0.04</v>
      </c>
      <c r="AJ47" s="59">
        <v>0</v>
      </c>
      <c r="AK47" s="59">
        <v>27.4</v>
      </c>
      <c r="AL47" s="59">
        <v>3.9800000000000002E-2</v>
      </c>
      <c r="AM47" s="59">
        <v>0</v>
      </c>
      <c r="AN47" s="59">
        <v>21.9</v>
      </c>
      <c r="AO47" s="59">
        <v>2.5000000000000001E-2</v>
      </c>
      <c r="AP47" s="59">
        <v>0</v>
      </c>
      <c r="AQ47" s="59">
        <v>100000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>
        <v>0.86399999999999999</v>
      </c>
      <c r="AY47" s="59">
        <v>0.21</v>
      </c>
      <c r="AZ47" s="59">
        <v>0</v>
      </c>
      <c r="BA47" s="59">
        <v>0</v>
      </c>
      <c r="BB47" s="59">
        <v>0</v>
      </c>
      <c r="BC47" s="59">
        <v>33</v>
      </c>
    </row>
    <row r="48" spans="1:55" s="59" customFormat="1" hidden="1" outlineLevel="1" x14ac:dyDescent="0.25">
      <c r="A48" s="58" t="s">
        <v>114</v>
      </c>
      <c r="B48" s="59">
        <v>0</v>
      </c>
      <c r="C48" s="60">
        <v>0.31028099999999997</v>
      </c>
      <c r="D48" s="59">
        <v>0</v>
      </c>
      <c r="E48" s="59">
        <v>10.957800000000001</v>
      </c>
      <c r="F48" s="6">
        <v>0.34728100000000001</v>
      </c>
      <c r="G48" s="59">
        <v>0</v>
      </c>
      <c r="H48" s="59">
        <v>16.438400000000001</v>
      </c>
      <c r="I48" s="59">
        <v>0.35828100000000002</v>
      </c>
      <c r="J48" s="59">
        <v>0</v>
      </c>
      <c r="K48" s="59">
        <v>27.396100000000001</v>
      </c>
      <c r="L48" s="59">
        <v>0.35828100000000002</v>
      </c>
      <c r="M48" s="59">
        <v>0</v>
      </c>
      <c r="N48" s="59">
        <v>100000</v>
      </c>
      <c r="O48" s="59">
        <v>0</v>
      </c>
      <c r="P48" s="59">
        <v>0</v>
      </c>
      <c r="Q48" s="59">
        <v>0</v>
      </c>
      <c r="R48" s="59">
        <v>0.74</v>
      </c>
      <c r="S48" s="59">
        <v>0.21</v>
      </c>
      <c r="T48" s="59">
        <v>0</v>
      </c>
      <c r="U48" s="60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0.04</v>
      </c>
      <c r="AJ48" s="59">
        <v>0</v>
      </c>
      <c r="AK48" s="59">
        <v>27.4</v>
      </c>
      <c r="AL48" s="59">
        <v>3.9800000000000002E-2</v>
      </c>
      <c r="AM48" s="59">
        <v>0</v>
      </c>
      <c r="AN48" s="59">
        <v>21.9</v>
      </c>
      <c r="AO48" s="59">
        <v>2.5000000000000001E-2</v>
      </c>
      <c r="AP48" s="59">
        <v>0</v>
      </c>
      <c r="AQ48" s="59">
        <v>100000</v>
      </c>
      <c r="AR48" s="59">
        <v>0</v>
      </c>
      <c r="AS48" s="59">
        <v>0</v>
      </c>
      <c r="AT48" s="59">
        <v>0</v>
      </c>
      <c r="AU48" s="59">
        <v>0</v>
      </c>
      <c r="AV48" s="59">
        <v>0</v>
      </c>
      <c r="AW48" s="59">
        <v>0</v>
      </c>
      <c r="AX48" s="59">
        <v>0.86399999999999999</v>
      </c>
      <c r="AY48" s="59">
        <v>0.21</v>
      </c>
      <c r="AZ48" s="59">
        <v>0</v>
      </c>
      <c r="BA48" s="59">
        <v>0</v>
      </c>
      <c r="BB48" s="59">
        <v>0</v>
      </c>
      <c r="BC48" s="59">
        <v>33</v>
      </c>
    </row>
    <row r="49" spans="1:55" s="34" customFormat="1" hidden="1" outlineLevel="1" x14ac:dyDescent="0.25">
      <c r="A49" s="61" t="s">
        <v>116</v>
      </c>
      <c r="B49" s="34">
        <v>2</v>
      </c>
      <c r="C49" s="34">
        <v>0.26469999999999999</v>
      </c>
      <c r="D49" s="34">
        <v>0</v>
      </c>
      <c r="E49" s="34">
        <v>3.28</v>
      </c>
      <c r="F49" s="34">
        <v>0.26989999999999997</v>
      </c>
      <c r="G49" s="34">
        <v>0</v>
      </c>
      <c r="H49" s="34">
        <v>7.67</v>
      </c>
      <c r="I49" s="34">
        <v>0.31219999999999998</v>
      </c>
      <c r="J49" s="34">
        <v>0</v>
      </c>
      <c r="K49" s="34">
        <v>16.440000000000001</v>
      </c>
      <c r="L49" s="34">
        <v>0.31969999999999998</v>
      </c>
      <c r="M49" s="34">
        <v>0</v>
      </c>
      <c r="N49" s="34">
        <v>100000</v>
      </c>
      <c r="O49" s="34">
        <v>0</v>
      </c>
      <c r="P49" s="34">
        <v>0</v>
      </c>
      <c r="Q49" s="34">
        <v>0</v>
      </c>
      <c r="R49" s="34">
        <v>0.77569999999999995</v>
      </c>
      <c r="S49" s="34">
        <v>0.12</v>
      </c>
      <c r="T49" s="34">
        <v>0.11600000000000001</v>
      </c>
      <c r="U49" s="34">
        <v>100000</v>
      </c>
      <c r="V49" s="34">
        <v>0</v>
      </c>
      <c r="W49" s="34">
        <v>0</v>
      </c>
      <c r="X49" s="34">
        <v>0</v>
      </c>
      <c r="Y49" s="34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34">
        <v>0</v>
      </c>
      <c r="AY49" s="34">
        <v>0</v>
      </c>
      <c r="AZ49" s="34">
        <v>0.22</v>
      </c>
      <c r="BA49" s="34">
        <v>1</v>
      </c>
      <c r="BB49" s="34">
        <v>0</v>
      </c>
      <c r="BC49" s="34">
        <v>0</v>
      </c>
    </row>
    <row r="50" spans="1:55" s="59" customFormat="1" hidden="1" outlineLevel="1" x14ac:dyDescent="0.25">
      <c r="A50" s="58" t="s">
        <v>118</v>
      </c>
      <c r="B50" s="59">
        <v>1</v>
      </c>
      <c r="C50" s="60">
        <v>0.25690000000000002</v>
      </c>
      <c r="D50" s="59">
        <v>0</v>
      </c>
      <c r="E50" s="59">
        <v>6.5753399999999997</v>
      </c>
      <c r="F50" s="60">
        <v>0.25480000000000003</v>
      </c>
      <c r="G50" s="59">
        <v>0</v>
      </c>
      <c r="H50" s="59">
        <v>100000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0.67630000000000001</v>
      </c>
      <c r="S50" s="59">
        <v>0.02</v>
      </c>
      <c r="T50" s="59">
        <v>0.15440000000000001</v>
      </c>
      <c r="U50" s="60">
        <v>100000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1</v>
      </c>
      <c r="BB50" s="59">
        <v>0</v>
      </c>
      <c r="BC50" s="59">
        <v>0</v>
      </c>
    </row>
    <row r="51" spans="1:55" s="59" customFormat="1" hidden="1" outlineLevel="1" x14ac:dyDescent="0.25">
      <c r="A51" s="58" t="s">
        <v>131</v>
      </c>
      <c r="B51" s="59">
        <v>0</v>
      </c>
      <c r="C51" s="59">
        <v>0.28799999999999998</v>
      </c>
      <c r="D51" s="59">
        <v>0</v>
      </c>
      <c r="E51" s="59">
        <v>10.9589</v>
      </c>
      <c r="F51" s="59">
        <v>0.33389999999999997</v>
      </c>
      <c r="G51" s="59">
        <v>0</v>
      </c>
      <c r="H51" s="59">
        <v>100000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0.70330000000000004</v>
      </c>
      <c r="S51" s="59">
        <v>0.16</v>
      </c>
      <c r="T51" s="59">
        <v>0.14230000000000001</v>
      </c>
      <c r="U51" s="59">
        <v>0</v>
      </c>
      <c r="V51" s="60">
        <v>100000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4.1169999999999998E-2</v>
      </c>
      <c r="AJ51" s="59">
        <v>0</v>
      </c>
      <c r="AK51" s="59">
        <v>49.315100000000001</v>
      </c>
      <c r="AL51" s="59">
        <v>1.882E-2</v>
      </c>
      <c r="AM51" s="59">
        <v>0</v>
      </c>
      <c r="AN51" s="59">
        <v>100000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>
        <v>0.68589999999999995</v>
      </c>
      <c r="AY51" s="59">
        <v>0.12</v>
      </c>
      <c r="AZ51" s="59">
        <v>0</v>
      </c>
      <c r="BA51" s="59">
        <v>0</v>
      </c>
      <c r="BB51" s="59">
        <v>6.0000000000000001E-3</v>
      </c>
      <c r="BC51" s="59">
        <v>0</v>
      </c>
    </row>
    <row r="52" spans="1:55" s="59" customFormat="1" hidden="1" outlineLevel="1" x14ac:dyDescent="0.25">
      <c r="A52" s="58" t="s">
        <v>127</v>
      </c>
      <c r="B52" s="59">
        <v>0</v>
      </c>
      <c r="C52" s="59">
        <v>0.28294999999999998</v>
      </c>
      <c r="D52" s="59">
        <v>0</v>
      </c>
      <c r="E52" s="59">
        <v>3.2877000000000001</v>
      </c>
      <c r="F52" s="59">
        <v>0.29398999999999997</v>
      </c>
      <c r="G52" s="59">
        <v>0</v>
      </c>
      <c r="H52" s="59">
        <v>7.6711999999999998</v>
      </c>
      <c r="I52" s="59">
        <v>0.34903000000000001</v>
      </c>
      <c r="J52" s="59">
        <v>0</v>
      </c>
      <c r="K52" s="59">
        <v>16.438400000000001</v>
      </c>
      <c r="L52" s="59">
        <v>0.34353</v>
      </c>
      <c r="M52" s="59">
        <v>0</v>
      </c>
      <c r="N52" s="59">
        <v>100000</v>
      </c>
      <c r="O52" s="59">
        <v>0</v>
      </c>
      <c r="P52" s="59">
        <v>0</v>
      </c>
      <c r="Q52" s="59">
        <v>0</v>
      </c>
      <c r="R52" s="59">
        <v>0.83413999999999999</v>
      </c>
      <c r="S52" s="59">
        <v>0</v>
      </c>
      <c r="T52" s="59">
        <v>0.12492</v>
      </c>
      <c r="U52" s="59">
        <v>0</v>
      </c>
      <c r="V52" s="60">
        <v>21.9178</v>
      </c>
      <c r="W52" s="59">
        <v>0.12203</v>
      </c>
      <c r="X52" s="59">
        <v>0</v>
      </c>
      <c r="Y52" s="59">
        <v>100000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1.7000000000000001E-2</v>
      </c>
      <c r="BC52" s="59">
        <v>0</v>
      </c>
    </row>
    <row r="53" spans="1:55" s="59" customFormat="1" hidden="1" outlineLevel="1" x14ac:dyDescent="0.25">
      <c r="A53" s="58" t="s">
        <v>126</v>
      </c>
      <c r="B53" s="59">
        <v>2</v>
      </c>
      <c r="C53" s="60">
        <v>0.30470000000000003</v>
      </c>
      <c r="D53" s="59">
        <v>0</v>
      </c>
      <c r="E53" s="59">
        <v>3</v>
      </c>
      <c r="F53" s="60">
        <v>0.31019999999999998</v>
      </c>
      <c r="G53" s="59">
        <v>0</v>
      </c>
      <c r="H53" s="59">
        <v>8</v>
      </c>
      <c r="I53" s="59">
        <v>0.35959999999999998</v>
      </c>
      <c r="J53" s="59">
        <v>0</v>
      </c>
      <c r="K53" s="59">
        <v>16</v>
      </c>
      <c r="L53" s="59">
        <v>0.39300000000000002</v>
      </c>
      <c r="M53" s="59">
        <v>0</v>
      </c>
      <c r="N53" s="59">
        <v>27</v>
      </c>
      <c r="O53" s="59">
        <v>0.39300000000000002</v>
      </c>
      <c r="P53" s="59">
        <v>0</v>
      </c>
      <c r="Q53" s="59">
        <v>100000</v>
      </c>
      <c r="R53" s="59">
        <v>0.75780000000000003</v>
      </c>
      <c r="S53" s="59">
        <v>0.2</v>
      </c>
      <c r="T53" s="59">
        <v>0.13420000000000001</v>
      </c>
      <c r="U53" s="60">
        <v>0</v>
      </c>
      <c r="V53" s="59">
        <v>100000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3.2199999999999999E-2</v>
      </c>
      <c r="AJ53" s="59">
        <v>4500</v>
      </c>
      <c r="AK53" s="59">
        <v>0</v>
      </c>
      <c r="AL53" s="59">
        <v>2.1899999999999999E-2</v>
      </c>
      <c r="AM53" s="59">
        <v>100000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0.76200000000000001</v>
      </c>
      <c r="AY53" s="59">
        <v>0.1</v>
      </c>
      <c r="AZ53" s="59">
        <v>0</v>
      </c>
      <c r="BA53" s="59">
        <v>0</v>
      </c>
      <c r="BB53" s="59">
        <v>6.0000000000000001E-3</v>
      </c>
      <c r="BC53" s="59">
        <v>0</v>
      </c>
    </row>
    <row r="54" spans="1:55" s="59" customFormat="1" hidden="1" outlineLevel="1" x14ac:dyDescent="0.25">
      <c r="A54" s="58" t="s">
        <v>110</v>
      </c>
      <c r="B54" s="59">
        <v>0</v>
      </c>
      <c r="C54" s="59">
        <v>0.2969</v>
      </c>
      <c r="D54" s="59">
        <v>0</v>
      </c>
      <c r="E54" s="59">
        <v>3.2877000000000001</v>
      </c>
      <c r="F54" s="59">
        <v>0.30809999999999998</v>
      </c>
      <c r="G54" s="59">
        <v>0</v>
      </c>
      <c r="H54" s="59">
        <v>7.6711999999999998</v>
      </c>
      <c r="I54" s="59">
        <v>0.35370000000000001</v>
      </c>
      <c r="J54" s="59">
        <v>0</v>
      </c>
      <c r="K54" s="59">
        <v>16.438400000000001</v>
      </c>
      <c r="L54" s="59">
        <v>0.38009999999999999</v>
      </c>
      <c r="M54" s="59">
        <v>0</v>
      </c>
      <c r="N54" s="59">
        <v>27.397300000000001</v>
      </c>
      <c r="O54" s="59">
        <v>0.38009999999999999</v>
      </c>
      <c r="P54" s="59">
        <v>0</v>
      </c>
      <c r="Q54" s="59">
        <v>100000</v>
      </c>
      <c r="R54" s="59">
        <v>0.75800000000000001</v>
      </c>
      <c r="S54" s="59">
        <v>0</v>
      </c>
      <c r="T54" s="59">
        <v>0.13669999999999999</v>
      </c>
      <c r="U54" s="59">
        <v>0</v>
      </c>
      <c r="V54" s="60">
        <v>21.9178</v>
      </c>
      <c r="W54" s="59">
        <v>0.14749999999999999</v>
      </c>
      <c r="X54" s="59">
        <v>0</v>
      </c>
      <c r="Y54" s="59">
        <v>100000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4.0300000000000002E-2</v>
      </c>
      <c r="AJ54" s="59">
        <v>4500</v>
      </c>
      <c r="AK54" s="59">
        <v>0</v>
      </c>
      <c r="AL54" s="59">
        <v>2.1100000000000001E-2</v>
      </c>
      <c r="AM54" s="59">
        <v>100000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0.71109999999999995</v>
      </c>
      <c r="AY54" s="59">
        <v>0.1</v>
      </c>
      <c r="AZ54" s="59">
        <v>0.06</v>
      </c>
      <c r="BA54" s="59">
        <v>0</v>
      </c>
      <c r="BB54" s="59">
        <v>0</v>
      </c>
      <c r="BC54" s="59">
        <v>0</v>
      </c>
    </row>
    <row r="55" spans="1:55" s="59" customFormat="1" collapsed="1" x14ac:dyDescent="0.25">
      <c r="A55" s="58" t="s">
        <v>132</v>
      </c>
      <c r="U55" s="60"/>
    </row>
    <row r="56" spans="1:55" s="59" customFormat="1" ht="15" hidden="1" customHeight="1" outlineLevel="1" x14ac:dyDescent="0.25">
      <c r="A56" s="58" t="s">
        <v>124</v>
      </c>
      <c r="B56" s="59">
        <v>0</v>
      </c>
      <c r="C56" s="59">
        <v>0.2969</v>
      </c>
      <c r="D56" s="59">
        <v>0</v>
      </c>
      <c r="E56" s="59">
        <v>3.2877000000000001</v>
      </c>
      <c r="F56" s="59">
        <v>0.30809999999999998</v>
      </c>
      <c r="G56" s="59">
        <v>0</v>
      </c>
      <c r="H56" s="59">
        <v>7.6711999999999998</v>
      </c>
      <c r="I56" s="59">
        <v>0.35370000000000001</v>
      </c>
      <c r="J56" s="59">
        <v>0</v>
      </c>
      <c r="K56" s="59">
        <v>16.438400000000001</v>
      </c>
      <c r="L56" s="59">
        <v>0.38009999999999999</v>
      </c>
      <c r="M56" s="59">
        <v>0</v>
      </c>
      <c r="N56" s="59">
        <v>27.397300000000001</v>
      </c>
      <c r="O56" s="59">
        <v>0.38009999999999999</v>
      </c>
      <c r="P56" s="59">
        <v>0</v>
      </c>
      <c r="Q56" s="59">
        <v>100000</v>
      </c>
      <c r="R56" s="59">
        <v>0.75800000000000001</v>
      </c>
      <c r="S56" s="59">
        <v>0.15</v>
      </c>
      <c r="T56" s="59">
        <v>0.13669999999999999</v>
      </c>
      <c r="U56" s="59">
        <v>0</v>
      </c>
      <c r="V56" s="60">
        <v>21.9178</v>
      </c>
      <c r="W56" s="59">
        <v>0.14749999999999999</v>
      </c>
      <c r="X56" s="59">
        <v>0</v>
      </c>
      <c r="Y56" s="59">
        <v>100000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4.0300000000000002E-2</v>
      </c>
      <c r="AJ56" s="59">
        <v>4500</v>
      </c>
      <c r="AK56" s="59">
        <v>0</v>
      </c>
      <c r="AL56" s="59">
        <v>2.1100000000000001E-2</v>
      </c>
      <c r="AM56" s="59">
        <v>100000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0.71109999999999995</v>
      </c>
      <c r="AY56" s="59">
        <v>0.1</v>
      </c>
      <c r="AZ56" s="59">
        <v>0</v>
      </c>
      <c r="BA56" s="59">
        <v>0</v>
      </c>
      <c r="BB56" s="59">
        <v>0</v>
      </c>
      <c r="BC56" s="59">
        <v>0</v>
      </c>
    </row>
    <row r="57" spans="1:55" s="59" customFormat="1" ht="15" hidden="1" customHeight="1" outlineLevel="1" x14ac:dyDescent="0.25">
      <c r="A57" s="58" t="s">
        <v>121</v>
      </c>
      <c r="B57" s="59">
        <v>2</v>
      </c>
      <c r="C57" s="59">
        <v>0.27560000000000001</v>
      </c>
      <c r="D57" s="59">
        <v>100</v>
      </c>
      <c r="E57" s="59">
        <v>0</v>
      </c>
      <c r="F57" s="59">
        <v>0.29980000000000001</v>
      </c>
      <c r="G57" s="59">
        <v>233</v>
      </c>
      <c r="H57" s="59">
        <v>0</v>
      </c>
      <c r="I57" s="59">
        <v>0.36520000000000002</v>
      </c>
      <c r="J57" s="59">
        <v>500</v>
      </c>
      <c r="K57" s="59">
        <v>0</v>
      </c>
      <c r="L57" s="59">
        <v>0.3891</v>
      </c>
      <c r="M57" s="59">
        <v>100000</v>
      </c>
      <c r="N57" s="59">
        <v>0</v>
      </c>
      <c r="O57" s="59">
        <v>0</v>
      </c>
      <c r="P57" s="59">
        <v>0</v>
      </c>
      <c r="Q57" s="59">
        <v>0</v>
      </c>
      <c r="R57" s="59">
        <v>0.69</v>
      </c>
      <c r="S57" s="59">
        <v>0.03</v>
      </c>
      <c r="T57" s="59">
        <v>0.14680000000000001</v>
      </c>
      <c r="U57" s="60">
        <v>667</v>
      </c>
      <c r="V57" s="59">
        <v>0</v>
      </c>
      <c r="W57" s="59">
        <v>0.1585</v>
      </c>
      <c r="X57" s="59">
        <v>100000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1</v>
      </c>
      <c r="BB57" s="59">
        <v>6.0000000000000001E-3</v>
      </c>
      <c r="BC57" s="59">
        <v>22</v>
      </c>
    </row>
    <row r="58" spans="1:55" s="59" customFormat="1" ht="15" hidden="1" customHeight="1" outlineLevel="1" x14ac:dyDescent="0.25">
      <c r="A58" s="58" t="s">
        <v>122</v>
      </c>
      <c r="B58" s="59">
        <v>2</v>
      </c>
      <c r="C58" s="59">
        <v>0.26100000000000001</v>
      </c>
      <c r="D58" s="59">
        <v>100</v>
      </c>
      <c r="E58" s="59">
        <v>0</v>
      </c>
      <c r="F58" s="59">
        <v>0.26679999999999998</v>
      </c>
      <c r="G58" s="59">
        <v>233</v>
      </c>
      <c r="H58" s="59">
        <v>0</v>
      </c>
      <c r="I58" s="59">
        <v>0.32500000000000001</v>
      </c>
      <c r="J58" s="59">
        <v>500</v>
      </c>
      <c r="K58" s="59">
        <v>0</v>
      </c>
      <c r="L58" s="59">
        <v>0.3463</v>
      </c>
      <c r="M58" s="59">
        <v>100000</v>
      </c>
      <c r="N58" s="59">
        <v>0</v>
      </c>
      <c r="O58" s="59">
        <v>0</v>
      </c>
      <c r="P58" s="59">
        <v>0</v>
      </c>
      <c r="Q58" s="59">
        <v>0</v>
      </c>
      <c r="R58" s="59">
        <v>0.69</v>
      </c>
      <c r="S58" s="59">
        <v>0.03</v>
      </c>
      <c r="T58" s="59">
        <v>0.14680000000000001</v>
      </c>
      <c r="U58" s="60">
        <v>667</v>
      </c>
      <c r="V58" s="59">
        <v>0</v>
      </c>
      <c r="W58" s="59">
        <v>0.1585</v>
      </c>
      <c r="X58" s="59">
        <v>100000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1</v>
      </c>
      <c r="BB58" s="59">
        <v>6.0000000000000001E-3</v>
      </c>
      <c r="BC58" s="59">
        <v>22</v>
      </c>
    </row>
    <row r="59" spans="1:55" s="59" customFormat="1" ht="15" hidden="1" customHeight="1" outlineLevel="1" x14ac:dyDescent="0.25">
      <c r="A59" s="58" t="s">
        <v>123</v>
      </c>
      <c r="B59" s="59">
        <v>3</v>
      </c>
      <c r="C59" s="59">
        <v>0.27400000000000002</v>
      </c>
      <c r="D59" s="59">
        <v>100</v>
      </c>
      <c r="E59" s="59">
        <v>0</v>
      </c>
      <c r="F59" s="59">
        <v>0.307</v>
      </c>
      <c r="G59" s="59">
        <v>233</v>
      </c>
      <c r="H59" s="59">
        <v>0</v>
      </c>
      <c r="I59" s="59">
        <v>0.34949999999999998</v>
      </c>
      <c r="J59" s="59">
        <v>500</v>
      </c>
      <c r="K59" s="59">
        <v>0</v>
      </c>
      <c r="L59" s="59">
        <v>0.34949999999999998</v>
      </c>
      <c r="M59" s="59">
        <v>100000</v>
      </c>
      <c r="N59" s="59">
        <v>0</v>
      </c>
      <c r="O59" s="59">
        <v>0</v>
      </c>
      <c r="P59" s="59">
        <v>0</v>
      </c>
      <c r="Q59" s="59">
        <v>0</v>
      </c>
      <c r="R59" s="59">
        <v>0.67800000000000005</v>
      </c>
      <c r="S59" s="59">
        <v>0.06</v>
      </c>
      <c r="T59" s="59">
        <v>0.1195</v>
      </c>
      <c r="U59" s="60">
        <v>667</v>
      </c>
      <c r="W59" s="59">
        <v>0.124</v>
      </c>
      <c r="X59" s="59">
        <v>100000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0</v>
      </c>
      <c r="AP59" s="59">
        <v>0</v>
      </c>
      <c r="AQ59" s="59">
        <v>0</v>
      </c>
      <c r="AR59" s="59">
        <v>0</v>
      </c>
      <c r="AS59" s="59">
        <v>0</v>
      </c>
      <c r="AT59" s="59">
        <v>0</v>
      </c>
      <c r="AU59" s="59">
        <v>0</v>
      </c>
      <c r="AV59" s="59">
        <v>0</v>
      </c>
      <c r="AW59" s="59">
        <v>0</v>
      </c>
      <c r="AX59" s="59">
        <v>0</v>
      </c>
      <c r="AY59" s="59">
        <v>0</v>
      </c>
      <c r="AZ59" s="59">
        <v>0.15</v>
      </c>
      <c r="BA59" s="59">
        <v>1</v>
      </c>
      <c r="BB59" s="59">
        <v>6.0000000000000001E-3</v>
      </c>
      <c r="BC59" s="59">
        <v>22</v>
      </c>
    </row>
    <row r="60" spans="1:55" s="59" customFormat="1" ht="13.5" hidden="1" customHeight="1" outlineLevel="1" x14ac:dyDescent="0.25">
      <c r="A60" s="58" t="s">
        <v>111</v>
      </c>
      <c r="B60" s="59">
        <v>0</v>
      </c>
      <c r="C60" s="60">
        <v>0.33328099999999999</v>
      </c>
      <c r="D60" s="59">
        <v>0</v>
      </c>
      <c r="E60" s="59">
        <v>10.957800000000001</v>
      </c>
      <c r="F60" s="60">
        <v>0.37328099999999997</v>
      </c>
      <c r="G60" s="59">
        <v>0</v>
      </c>
      <c r="H60" s="59">
        <v>16.437999999999999</v>
      </c>
      <c r="I60" s="59">
        <v>0.404281</v>
      </c>
      <c r="J60" s="59">
        <v>0</v>
      </c>
      <c r="K60" s="59">
        <v>27.396000000000001</v>
      </c>
      <c r="L60" s="59">
        <v>0.404281</v>
      </c>
      <c r="M60" s="59">
        <v>0</v>
      </c>
      <c r="N60" s="59">
        <v>100000</v>
      </c>
      <c r="O60" s="59">
        <v>0</v>
      </c>
      <c r="P60" s="59">
        <v>0</v>
      </c>
      <c r="Q60" s="59">
        <v>0</v>
      </c>
      <c r="R60" s="59">
        <v>0.74</v>
      </c>
      <c r="S60" s="59">
        <v>0.17</v>
      </c>
      <c r="T60" s="59">
        <v>0</v>
      </c>
      <c r="U60" s="60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3.9280000000000002E-2</v>
      </c>
      <c r="AJ60" s="59">
        <v>0</v>
      </c>
      <c r="AK60" s="59">
        <v>27.4</v>
      </c>
      <c r="AL60" s="59">
        <v>3.0800000000000001E-2</v>
      </c>
      <c r="AM60" s="59">
        <v>0</v>
      </c>
      <c r="AN60" s="59">
        <v>21.9</v>
      </c>
      <c r="AO60" s="59">
        <v>2.2579999999999999E-2</v>
      </c>
      <c r="AP60" s="59">
        <v>0</v>
      </c>
      <c r="AQ60" s="59">
        <v>100000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0.86599999999999999</v>
      </c>
      <c r="AY60" s="59">
        <v>0.13</v>
      </c>
      <c r="AZ60" s="59">
        <v>0</v>
      </c>
      <c r="BA60" s="59">
        <v>0</v>
      </c>
      <c r="BB60" s="59">
        <v>0</v>
      </c>
      <c r="BC60" s="59">
        <v>33</v>
      </c>
    </row>
    <row r="61" spans="1:55" s="59" customFormat="1" ht="15" hidden="1" customHeight="1" outlineLevel="1" x14ac:dyDescent="0.25">
      <c r="A61" s="58" t="s">
        <v>112</v>
      </c>
      <c r="B61" s="59">
        <v>0</v>
      </c>
      <c r="C61" s="60">
        <v>0.31028099999999997</v>
      </c>
      <c r="D61" s="59">
        <v>0</v>
      </c>
      <c r="E61" s="59">
        <v>10.957800000000001</v>
      </c>
      <c r="F61" s="60">
        <v>0.34728100000000001</v>
      </c>
      <c r="G61" s="59">
        <v>0</v>
      </c>
      <c r="H61" s="59">
        <v>16.438400000000001</v>
      </c>
      <c r="I61" s="59">
        <v>0.35828100000000002</v>
      </c>
      <c r="J61" s="59">
        <v>0</v>
      </c>
      <c r="K61" s="59">
        <v>27.396100000000001</v>
      </c>
      <c r="L61" s="59">
        <v>0.35828100000000002</v>
      </c>
      <c r="M61" s="59">
        <v>0</v>
      </c>
      <c r="N61" s="59">
        <v>100000</v>
      </c>
      <c r="O61" s="59">
        <v>0</v>
      </c>
      <c r="P61" s="59">
        <v>0</v>
      </c>
      <c r="Q61" s="59">
        <v>0</v>
      </c>
      <c r="R61" s="59">
        <v>0.74</v>
      </c>
      <c r="S61" s="59">
        <v>0.17</v>
      </c>
      <c r="T61" s="59">
        <v>0</v>
      </c>
      <c r="U61" s="60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3.9280000000000002E-2</v>
      </c>
      <c r="AJ61" s="59">
        <v>0</v>
      </c>
      <c r="AK61" s="59">
        <v>27.4</v>
      </c>
      <c r="AL61" s="59">
        <v>3.0800000000000001E-2</v>
      </c>
      <c r="AM61" s="59">
        <v>0</v>
      </c>
      <c r="AN61" s="59">
        <v>21.9</v>
      </c>
      <c r="AO61" s="59">
        <v>2.2579999999999999E-2</v>
      </c>
      <c r="AP61" s="59">
        <v>0</v>
      </c>
      <c r="AQ61" s="59">
        <v>100000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0.86599999999999999</v>
      </c>
      <c r="AY61" s="59">
        <v>0.13</v>
      </c>
      <c r="AZ61" s="59">
        <v>0</v>
      </c>
      <c r="BA61" s="59">
        <v>0</v>
      </c>
      <c r="BB61" s="59">
        <v>0</v>
      </c>
      <c r="BC61" s="59">
        <v>33</v>
      </c>
    </row>
    <row r="62" spans="1:55" s="59" customFormat="1" ht="15" hidden="1" customHeight="1" outlineLevel="1" x14ac:dyDescent="0.25">
      <c r="A62" s="58" t="s">
        <v>115</v>
      </c>
      <c r="B62" s="59">
        <v>0</v>
      </c>
      <c r="C62" s="59">
        <v>0.29349999999999998</v>
      </c>
      <c r="D62" s="59">
        <v>0</v>
      </c>
      <c r="E62" s="59">
        <v>3.28</v>
      </c>
      <c r="F62" s="59">
        <v>0.29920000000000002</v>
      </c>
      <c r="G62" s="59">
        <v>0</v>
      </c>
      <c r="H62" s="59">
        <v>7.67</v>
      </c>
      <c r="I62" s="59">
        <v>0.34610000000000002</v>
      </c>
      <c r="J62" s="59">
        <v>0</v>
      </c>
      <c r="K62" s="59">
        <v>16.440000000000001</v>
      </c>
      <c r="L62" s="59">
        <v>0.35439999999999999</v>
      </c>
      <c r="M62" s="59">
        <v>0</v>
      </c>
      <c r="N62" s="59">
        <v>100000</v>
      </c>
      <c r="O62" s="59">
        <v>0</v>
      </c>
      <c r="P62" s="59">
        <v>0</v>
      </c>
      <c r="Q62" s="59">
        <v>0</v>
      </c>
      <c r="R62" s="59">
        <v>0.8165</v>
      </c>
      <c r="S62" s="59">
        <v>0.12</v>
      </c>
      <c r="T62" s="59">
        <v>0.12859999999999999</v>
      </c>
      <c r="U62" s="59">
        <v>0</v>
      </c>
      <c r="V62" s="59">
        <v>21.92</v>
      </c>
      <c r="W62" s="59">
        <v>0.12859999999999999</v>
      </c>
      <c r="X62" s="59">
        <v>0</v>
      </c>
      <c r="Y62" s="59">
        <v>100000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0.23599999999999999</v>
      </c>
      <c r="BA62" s="59">
        <v>0</v>
      </c>
      <c r="BB62" s="59">
        <v>0</v>
      </c>
      <c r="BC62" s="59">
        <v>0</v>
      </c>
    </row>
    <row r="63" spans="1:55" s="59" customFormat="1" ht="16.5" hidden="1" customHeight="1" outlineLevel="1" x14ac:dyDescent="0.25">
      <c r="A63" s="58" t="s">
        <v>117</v>
      </c>
      <c r="B63" s="59">
        <v>1</v>
      </c>
      <c r="C63" s="59">
        <v>0.2833</v>
      </c>
      <c r="D63" s="59">
        <v>200</v>
      </c>
      <c r="E63" s="59">
        <v>0</v>
      </c>
      <c r="F63" s="59">
        <v>0.28249999999999997</v>
      </c>
      <c r="G63" s="59">
        <v>100000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0.7661</v>
      </c>
      <c r="S63" s="59">
        <v>0.02</v>
      </c>
      <c r="T63" s="59">
        <v>0.1515</v>
      </c>
      <c r="U63" s="59">
        <v>100000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</row>
    <row r="64" spans="1:55" s="59" customFormat="1" ht="15" hidden="1" customHeight="1" outlineLevel="1" x14ac:dyDescent="0.25">
      <c r="A64" s="58" t="s">
        <v>119</v>
      </c>
      <c r="B64" s="59">
        <v>0</v>
      </c>
      <c r="C64" s="59">
        <v>0.31419999999999998</v>
      </c>
      <c r="D64" s="59">
        <v>0</v>
      </c>
      <c r="E64" s="59">
        <v>3.2877000000000001</v>
      </c>
      <c r="F64" s="59">
        <v>0.37790000000000001</v>
      </c>
      <c r="G64" s="59">
        <v>0</v>
      </c>
      <c r="H64" s="59">
        <v>7.6711999999999998</v>
      </c>
      <c r="I64" s="59">
        <v>0.34849999999999998</v>
      </c>
      <c r="J64" s="59">
        <v>0</v>
      </c>
      <c r="K64" s="59">
        <v>16.438400000000001</v>
      </c>
      <c r="L64" s="59">
        <v>0.34849999999999998</v>
      </c>
      <c r="M64" s="59">
        <v>0</v>
      </c>
      <c r="N64" s="59">
        <v>27.397300000000001</v>
      </c>
      <c r="O64" s="59">
        <v>0.34849999999999998</v>
      </c>
      <c r="P64" s="59">
        <v>0</v>
      </c>
      <c r="Q64" s="59">
        <v>100000</v>
      </c>
      <c r="R64" s="59">
        <v>0.7379</v>
      </c>
      <c r="S64" s="59">
        <v>0.16</v>
      </c>
      <c r="T64" s="59">
        <v>0.1386</v>
      </c>
      <c r="U64" s="59">
        <v>0</v>
      </c>
      <c r="V64" s="60">
        <v>21.9178</v>
      </c>
      <c r="W64" s="59">
        <v>0.13669999999999999</v>
      </c>
      <c r="X64" s="59">
        <v>0</v>
      </c>
      <c r="Y64" s="59">
        <v>100000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59">
        <v>0</v>
      </c>
      <c r="AI64" s="59">
        <v>3.986E-2</v>
      </c>
      <c r="AJ64" s="59">
        <v>0</v>
      </c>
      <c r="AK64" s="59">
        <v>49.315100000000001</v>
      </c>
      <c r="AL64" s="59">
        <v>1.857E-2</v>
      </c>
      <c r="AM64" s="59">
        <v>0</v>
      </c>
      <c r="AN64" s="59">
        <v>10000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0.64729999999999999</v>
      </c>
      <c r="AY64" s="59">
        <v>0.12</v>
      </c>
      <c r="AZ64" s="59">
        <v>0</v>
      </c>
      <c r="BA64" s="59">
        <v>0</v>
      </c>
      <c r="BB64" s="59">
        <v>6.0000000000000001E-3</v>
      </c>
      <c r="BC64" s="59">
        <v>0</v>
      </c>
    </row>
    <row r="65" spans="1:55" s="59" customFormat="1" ht="15" hidden="1" customHeight="1" outlineLevel="1" x14ac:dyDescent="0.25">
      <c r="A65" s="58" t="s">
        <v>120</v>
      </c>
      <c r="B65" s="59">
        <v>0</v>
      </c>
      <c r="C65" s="59">
        <v>0.31419999999999998</v>
      </c>
      <c r="D65" s="59">
        <v>0</v>
      </c>
      <c r="E65" s="59">
        <v>10.9589</v>
      </c>
      <c r="F65" s="59">
        <v>0.37790000000000001</v>
      </c>
      <c r="G65" s="59">
        <v>0</v>
      </c>
      <c r="H65" s="59">
        <v>100000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0.7379</v>
      </c>
      <c r="S65" s="59">
        <v>0.16</v>
      </c>
      <c r="T65" s="59">
        <v>0.1386</v>
      </c>
      <c r="U65" s="59">
        <v>0</v>
      </c>
      <c r="V65" s="60">
        <v>21.9178</v>
      </c>
      <c r="W65" s="59">
        <v>0.13669999999999999</v>
      </c>
      <c r="X65" s="59">
        <v>0</v>
      </c>
      <c r="Y65" s="59">
        <v>100000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4.1169999999999998E-2</v>
      </c>
      <c r="AJ65" s="59">
        <v>0</v>
      </c>
      <c r="AK65" s="59">
        <v>49.315100000000001</v>
      </c>
      <c r="AL65" s="59">
        <v>1.882E-2</v>
      </c>
      <c r="AM65" s="59">
        <v>0</v>
      </c>
      <c r="AN65" s="59">
        <v>10000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0.68589999999999995</v>
      </c>
      <c r="AY65" s="59">
        <v>0.12</v>
      </c>
      <c r="AZ65" s="59">
        <v>0</v>
      </c>
      <c r="BA65" s="59">
        <v>0</v>
      </c>
      <c r="BB65" s="59">
        <v>6.0000000000000001E-3</v>
      </c>
      <c r="BC65" s="59">
        <v>0</v>
      </c>
    </row>
    <row r="66" spans="1:55" s="34" customFormat="1" collapsed="1" x14ac:dyDescent="0.25">
      <c r="A66" s="58" t="s">
        <v>133</v>
      </c>
    </row>
    <row r="67" spans="1:55" s="34" customFormat="1" x14ac:dyDescent="0.25">
      <c r="A67" s="61"/>
    </row>
    <row r="68" spans="1:55" s="34" customFormat="1" x14ac:dyDescent="0.25">
      <c r="A68" s="61"/>
    </row>
    <row r="69" spans="1:55" s="34" customFormat="1" x14ac:dyDescent="0.25">
      <c r="A69" s="61"/>
    </row>
    <row r="70" spans="1:55" s="34" customFormat="1" x14ac:dyDescent="0.25">
      <c r="A70" s="61"/>
    </row>
    <row r="71" spans="1:55" s="34" customFormat="1" x14ac:dyDescent="0.25">
      <c r="A71" s="61"/>
    </row>
    <row r="72" spans="1:55" s="34" customFormat="1" x14ac:dyDescent="0.25">
      <c r="A72" s="61"/>
    </row>
    <row r="73" spans="1:55" s="34" customFormat="1" x14ac:dyDescent="0.25">
      <c r="A73" s="61"/>
    </row>
    <row r="74" spans="1:55" s="34" customFormat="1" x14ac:dyDescent="0.25">
      <c r="A74" s="61"/>
    </row>
    <row r="75" spans="1:55" s="34" customFormat="1" x14ac:dyDescent="0.25">
      <c r="A75" s="6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40"/>
  <sheetViews>
    <sheetView topLeftCell="C1" workbookViewId="0">
      <selection activeCell="D9" sqref="D9"/>
    </sheetView>
  </sheetViews>
  <sheetFormatPr defaultRowHeight="15" x14ac:dyDescent="0.25"/>
  <cols>
    <col min="4" max="4" width="87.85546875" customWidth="1"/>
  </cols>
  <sheetData>
    <row r="4" spans="4:4" x14ac:dyDescent="0.25">
      <c r="D4" t="s">
        <v>194</v>
      </c>
    </row>
    <row r="5" spans="4:4" x14ac:dyDescent="0.25">
      <c r="D5" s="57" t="s">
        <v>106</v>
      </c>
    </row>
    <row r="6" spans="4:4" x14ac:dyDescent="0.25">
      <c r="D6" s="57" t="s">
        <v>107</v>
      </c>
    </row>
    <row r="7" spans="4:4" x14ac:dyDescent="0.25">
      <c r="D7" s="57" t="s">
        <v>192</v>
      </c>
    </row>
    <row r="8" spans="4:4" x14ac:dyDescent="0.25">
      <c r="D8" s="57" t="s">
        <v>108</v>
      </c>
    </row>
    <row r="14" spans="4:4" x14ac:dyDescent="0.25">
      <c r="D14" s="57" t="s">
        <v>193</v>
      </c>
    </row>
    <row r="15" spans="4:4" x14ac:dyDescent="0.25">
      <c r="D15" s="57" t="s">
        <v>91</v>
      </c>
    </row>
    <row r="16" spans="4:4" x14ac:dyDescent="0.25">
      <c r="D16" s="57" t="s">
        <v>186</v>
      </c>
    </row>
    <row r="17" spans="4:4" x14ac:dyDescent="0.25">
      <c r="D17" s="57" t="s">
        <v>92</v>
      </c>
    </row>
    <row r="18" spans="4:4" x14ac:dyDescent="0.25">
      <c r="D18" s="57" t="s">
        <v>93</v>
      </c>
    </row>
    <row r="19" spans="4:4" x14ac:dyDescent="0.25">
      <c r="D19" s="57" t="s">
        <v>94</v>
      </c>
    </row>
    <row r="20" spans="4:4" x14ac:dyDescent="0.25">
      <c r="D20" s="57" t="s">
        <v>95</v>
      </c>
    </row>
    <row r="21" spans="4:4" x14ac:dyDescent="0.25">
      <c r="D21" s="57" t="s">
        <v>96</v>
      </c>
    </row>
    <row r="22" spans="4:4" x14ac:dyDescent="0.25">
      <c r="D22" s="57" t="s">
        <v>97</v>
      </c>
    </row>
    <row r="23" spans="4:4" x14ac:dyDescent="0.25">
      <c r="D23" s="57" t="s">
        <v>98</v>
      </c>
    </row>
    <row r="24" spans="4:4" x14ac:dyDescent="0.25">
      <c r="D24" s="57" t="s">
        <v>99</v>
      </c>
    </row>
    <row r="25" spans="4:4" x14ac:dyDescent="0.25">
      <c r="D25" s="57" t="s">
        <v>100</v>
      </c>
    </row>
    <row r="26" spans="4:4" x14ac:dyDescent="0.25">
      <c r="D26" s="57"/>
    </row>
    <row r="27" spans="4:4" x14ac:dyDescent="0.25">
      <c r="D27" s="57" t="s">
        <v>109</v>
      </c>
    </row>
    <row r="28" spans="4:4" x14ac:dyDescent="0.25">
      <c r="D28" s="57"/>
    </row>
    <row r="29" spans="4:4" x14ac:dyDescent="0.25">
      <c r="D29" s="57" t="s">
        <v>101</v>
      </c>
    </row>
    <row r="30" spans="4:4" x14ac:dyDescent="0.25">
      <c r="D30" s="57"/>
    </row>
    <row r="31" spans="4:4" x14ac:dyDescent="0.25">
      <c r="D31" s="57" t="s">
        <v>102</v>
      </c>
    </row>
    <row r="32" spans="4:4" x14ac:dyDescent="0.25">
      <c r="D32" s="57"/>
    </row>
    <row r="33" spans="4:4" x14ac:dyDescent="0.25">
      <c r="D33" s="57" t="s">
        <v>103</v>
      </c>
    </row>
    <row r="34" spans="4:4" x14ac:dyDescent="0.25">
      <c r="D34" s="57"/>
    </row>
    <row r="35" spans="4:4" x14ac:dyDescent="0.25">
      <c r="D35" s="57" t="s">
        <v>104</v>
      </c>
    </row>
    <row r="36" spans="4:4" x14ac:dyDescent="0.25">
      <c r="D36" s="57"/>
    </row>
    <row r="37" spans="4:4" x14ac:dyDescent="0.25">
      <c r="D37" s="57" t="s">
        <v>105</v>
      </c>
    </row>
    <row r="38" spans="4:4" x14ac:dyDescent="0.25">
      <c r="D38" s="57"/>
    </row>
    <row r="39" spans="4:4" x14ac:dyDescent="0.25">
      <c r="D39" s="57"/>
    </row>
    <row r="40" spans="4:4" x14ac:dyDescent="0.25">
      <c r="D40" s="5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Suppliers</vt:lpstr>
      <vt:lpstr>Instructions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Hoyle</dc:creator>
  <cp:lastModifiedBy>Brett Hoyle</cp:lastModifiedBy>
  <dcterms:created xsi:type="dcterms:W3CDTF">2015-01-24T23:39:46Z</dcterms:created>
  <dcterms:modified xsi:type="dcterms:W3CDTF">2019-12-06T14:46:18Z</dcterms:modified>
</cp:coreProperties>
</file>